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S:\HRIS\HR Information Systems\Flexitime Forms\Excel Flextime\"/>
    </mc:Choice>
  </mc:AlternateContent>
  <xr:revisionPtr revIDLastSave="0" documentId="13_ncr:1_{E8511CEA-6F31-4EB0-B9FD-C90735156313}" xr6:coauthVersionLast="47" xr6:coauthVersionMax="47" xr10:uidLastSave="{00000000-0000-0000-0000-000000000000}"/>
  <workbookProtection workbookPassword="E5C1" lockStructure="1"/>
  <bookViews>
    <workbookView xWindow="165" yWindow="105" windowWidth="27465" windowHeight="14265" tabRatio="686" activeTab="2" xr2:uid="{00000000-000D-0000-FFFF-FFFF00000000}"/>
  </bookViews>
  <sheets>
    <sheet name="instructions" sheetId="36" r:id="rId1"/>
    <sheet name="setup" sheetId="13" r:id="rId2"/>
    <sheet name="P01" sheetId="37" r:id="rId3"/>
    <sheet name="P02" sheetId="38" r:id="rId4"/>
    <sheet name="P03" sheetId="39" r:id="rId5"/>
    <sheet name="P04" sheetId="40" r:id="rId6"/>
    <sheet name="P05" sheetId="41" r:id="rId7"/>
    <sheet name="P06" sheetId="42" r:id="rId8"/>
    <sheet name="P07" sheetId="49" r:id="rId9"/>
    <sheet name="P08" sheetId="48" r:id="rId10"/>
    <sheet name="P09" sheetId="47" r:id="rId11"/>
    <sheet name="P10" sheetId="46" r:id="rId12"/>
    <sheet name="P11" sheetId="45" r:id="rId13"/>
    <sheet name="P12" sheetId="44" r:id="rId14"/>
    <sheet name="P13" sheetId="43" r:id="rId15"/>
  </sheets>
  <definedNames>
    <definedName name="dc_fw_p02" localSheetId="6">'P05'!#REF!</definedName>
    <definedName name="end_lunch">setup!$F$10</definedName>
    <definedName name="end_time">setup!$G$10</definedName>
    <definedName name="first_dc">setup!#REF!</definedName>
    <definedName name="first_mins">setup!#REF!</definedName>
    <definedName name="first_monday">setup!$C$29</definedName>
    <definedName name="fri_hrs">setup!$H$15</definedName>
    <definedName name="fri_hrs2">setup!$P$15</definedName>
    <definedName name="fri_mins">setup!$H$16</definedName>
    <definedName name="fri_mins2">setup!$P$16</definedName>
    <definedName name="hrs_4wks">setup!$I$18</definedName>
    <definedName name="hrs_4wks2">setup!$Q$18</definedName>
    <definedName name="max_carry">setup!$B$6</definedName>
    <definedName name="max_hours">setup!#REF!</definedName>
    <definedName name="mins_4wks">setup!$I$22</definedName>
    <definedName name="mon_hrs">setup!$D$15</definedName>
    <definedName name="mon_hrs2">setup!$L$15</definedName>
    <definedName name="mon_mins">setup!$D$16</definedName>
    <definedName name="mon_mins2">setup!$L$16</definedName>
    <definedName name="_xlnm.Print_Area" localSheetId="2">'P01'!$A$1:$AB$41</definedName>
    <definedName name="_xlnm.Print_Area" localSheetId="3">'P02'!$A$1:$AB$41</definedName>
    <definedName name="_xlnm.Print_Area" localSheetId="4">'P03'!$A$1:$AB$41</definedName>
    <definedName name="_xlnm.Print_Area" localSheetId="5">'P04'!$A$1:$AB$41</definedName>
    <definedName name="_xlnm.Print_Area" localSheetId="6">'P05'!$A$1:$AB$41</definedName>
    <definedName name="_xlnm.Print_Area" localSheetId="7">'P06'!$A$1:$AB$41</definedName>
    <definedName name="_xlnm.Print_Area" localSheetId="8">'P07'!$A$1:$AB$41</definedName>
    <definedName name="_xlnm.Print_Area" localSheetId="9">'P08'!$A$1:$AB$41</definedName>
    <definedName name="_xlnm.Print_Area" localSheetId="10">'P09'!$A$1:$AB$41</definedName>
    <definedName name="_xlnm.Print_Area" localSheetId="11">'P10'!$A$1:$AB$41</definedName>
    <definedName name="_xlnm.Print_Area" localSheetId="12">'P11'!$A$1:$AB$41</definedName>
    <definedName name="_xlnm.Print_Area" localSheetId="13">'P12'!$A$1:$AB$41</definedName>
    <definedName name="_xlnm.Print_Area" localSheetId="14">'P13'!$A$1:$AB$41</definedName>
    <definedName name="sheet_end_date_p01">'P01'!$A$32</definedName>
    <definedName name="sheet_end_date_p02" localSheetId="4">'P02'!$A$32</definedName>
    <definedName name="sheet_end_date_p02" localSheetId="5">'P02'!$A$32</definedName>
    <definedName name="sheet_end_date_p02" localSheetId="6">'P02'!$A$32</definedName>
    <definedName name="sheet_end_date_p02">'P02'!$A$32</definedName>
    <definedName name="sheet_end_date_p03" localSheetId="5">'P03'!$A$32</definedName>
    <definedName name="sheet_end_date_p03" localSheetId="6">'P03'!$A$32</definedName>
    <definedName name="sheet_end_date_p03">'P03'!$A$32</definedName>
    <definedName name="sheet_end_date_p04" localSheetId="6">'P04'!$A$32</definedName>
    <definedName name="sheet_end_date_p04">'P04'!$A$32</definedName>
    <definedName name="sheet_end_date_p05">'P05'!$A$32</definedName>
    <definedName name="sheet_end_date_p06">'P06'!$A$32</definedName>
    <definedName name="sheet_end_date_p07">'P07'!$A$32</definedName>
    <definedName name="sheet_end_date_p08">'P08'!$A$32</definedName>
    <definedName name="sheet_end_date_p09">'P09'!$A$32</definedName>
    <definedName name="sheet_end_date_p10">'P10'!$A$32</definedName>
    <definedName name="sheet_end_date_p11">'P11'!$A$32</definedName>
    <definedName name="sheet_end_date_p12">'P12'!$A$32</definedName>
    <definedName name="sheet_end_date_p13">'P13'!$A$32</definedName>
    <definedName name="start_lunch">setup!$D$10</definedName>
    <definedName name="start_time">setup!$C$10</definedName>
    <definedName name="std_hours">setup!$C$21</definedName>
    <definedName name="std_mins">setup!$C$22</definedName>
    <definedName name="super">setup!$C$30</definedName>
    <definedName name="thu_hrs">setup!$G$15</definedName>
    <definedName name="thu_hrs2">setup!$O$15</definedName>
    <definedName name="thu_mins">setup!$G$16</definedName>
    <definedName name="thu_mins2">setup!$O$16</definedName>
    <definedName name="tot_mins_fw_p01" localSheetId="3">'P01'!#REF!</definedName>
    <definedName name="tot_mins_fw_p01" localSheetId="4">'P01'!#REF!</definedName>
    <definedName name="tot_mins_fw_p01" localSheetId="5">'P01'!#REF!</definedName>
    <definedName name="tot_mins_fw_p01" localSheetId="6">'P01'!#REF!</definedName>
    <definedName name="tot_mins_fw_p01">'P01'!#REF!</definedName>
    <definedName name="tot_mins_fw_p02" localSheetId="4">'P02'!#REF!</definedName>
    <definedName name="tot_mins_fw_p02" localSheetId="5">'P02'!#REF!</definedName>
    <definedName name="tot_mins_fw_p02" localSheetId="6">'P02'!#REF!</definedName>
    <definedName name="tot_mins_fw_p02">'P02'!#REF!</definedName>
    <definedName name="tot_mins_fw_p03" localSheetId="6">'P03'!#REF!</definedName>
    <definedName name="tot_mins_fw_p03">'P03'!#REF!</definedName>
    <definedName name="tot_mins_fw_p04" localSheetId="6">'P04'!#REF!</definedName>
    <definedName name="tot_mins_fw_p04">'P04'!#REF!</definedName>
    <definedName name="tot_mins_fw_p05">'P05'!#REF!</definedName>
    <definedName name="tot_mins_fw_p06">'P06'!#REF!</definedName>
    <definedName name="tot_mins_fw_p07" localSheetId="3">'P02'!#REF!</definedName>
    <definedName name="tot_mins_fw_p07">'P07'!#REF!</definedName>
    <definedName name="tot_mins_fw_p08">'P08'!#REF!</definedName>
    <definedName name="tot_mins_fw_p09">'P09'!#REF!</definedName>
    <definedName name="tot_mins_fw_p10">'P10'!#REF!</definedName>
    <definedName name="tot_mins_fw_p11">'P11'!#REF!</definedName>
    <definedName name="tot_mins_fw_p12">'P12'!#REF!</definedName>
    <definedName name="tot_mins_fw_p13">'P13'!#REF!</definedName>
    <definedName name="tue_hrs">setup!$E$15</definedName>
    <definedName name="tue_hrs2">setup!$M$15</definedName>
    <definedName name="tue_mins">setup!$E$16</definedName>
    <definedName name="tue_mins2">setup!$M$16</definedName>
    <definedName name="wed_hrs">setup!$F$15</definedName>
    <definedName name="wed_hrs2">setup!$N$15</definedName>
    <definedName name="wed_mins">setup!$F$16</definedName>
    <definedName name="wed_mins2">setup!$N$16</definedName>
    <definedName name="your_department">setup!$C$4</definedName>
    <definedName name="your_name">setup!$C$3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41" l="1"/>
  <c r="D30" i="41"/>
  <c r="F30" i="41"/>
  <c r="G30" i="41"/>
  <c r="E30" i="41" l="1"/>
  <c r="G29" i="41"/>
  <c r="F29" i="41"/>
  <c r="D29" i="41"/>
  <c r="C29" i="41"/>
  <c r="E29" i="41" s="1"/>
  <c r="D22" i="40"/>
  <c r="G16" i="40"/>
  <c r="F31" i="40"/>
  <c r="G26" i="41"/>
  <c r="F26" i="41"/>
  <c r="D26" i="41"/>
  <c r="C26" i="41"/>
  <c r="G28" i="41"/>
  <c r="H28" i="41" s="1"/>
  <c r="F28" i="41"/>
  <c r="D28" i="41"/>
  <c r="C28" i="41"/>
  <c r="D32" i="41"/>
  <c r="C32" i="41"/>
  <c r="G32" i="41"/>
  <c r="F32" i="41"/>
  <c r="G20" i="37"/>
  <c r="F20" i="37"/>
  <c r="G19" i="37"/>
  <c r="F19" i="37"/>
  <c r="G18" i="37"/>
  <c r="F18" i="37"/>
  <c r="G17" i="37"/>
  <c r="F17" i="37"/>
  <c r="G16" i="37"/>
  <c r="F16" i="37"/>
  <c r="D20" i="37"/>
  <c r="C20" i="37"/>
  <c r="D19" i="37"/>
  <c r="C19" i="37"/>
  <c r="D18" i="37"/>
  <c r="E18" i="37" s="1"/>
  <c r="C18" i="37"/>
  <c r="D17" i="37"/>
  <c r="C17" i="37"/>
  <c r="D16" i="37"/>
  <c r="C16" i="37"/>
  <c r="C32" i="43"/>
  <c r="C31" i="43"/>
  <c r="C30" i="43"/>
  <c r="C29" i="43"/>
  <c r="C28" i="43"/>
  <c r="C26" i="43"/>
  <c r="C25" i="43"/>
  <c r="C24" i="43"/>
  <c r="C23" i="43"/>
  <c r="C22" i="43"/>
  <c r="C20" i="43"/>
  <c r="C19" i="43"/>
  <c r="C18" i="43"/>
  <c r="C17" i="43"/>
  <c r="C16" i="43"/>
  <c r="C14" i="43"/>
  <c r="C13" i="43"/>
  <c r="C12" i="43"/>
  <c r="C11" i="43"/>
  <c r="C10" i="43"/>
  <c r="C32" i="44"/>
  <c r="C31" i="44"/>
  <c r="C30" i="44"/>
  <c r="C29" i="44"/>
  <c r="C28" i="44"/>
  <c r="C26" i="44"/>
  <c r="C25" i="44"/>
  <c r="C24" i="44"/>
  <c r="C23" i="44"/>
  <c r="C22" i="44"/>
  <c r="C20" i="44"/>
  <c r="C19" i="44"/>
  <c r="C18" i="44"/>
  <c r="C17" i="44"/>
  <c r="C16" i="44"/>
  <c r="C14" i="44"/>
  <c r="C13" i="44"/>
  <c r="C12" i="44"/>
  <c r="C11" i="44"/>
  <c r="C10" i="44"/>
  <c r="C10" i="45"/>
  <c r="C18" i="46"/>
  <c r="C14" i="46"/>
  <c r="C13" i="46"/>
  <c r="C12" i="46"/>
  <c r="C11" i="46"/>
  <c r="C10" i="46"/>
  <c r="C32" i="45"/>
  <c r="C31" i="45"/>
  <c r="C30" i="45"/>
  <c r="C29" i="45"/>
  <c r="C26" i="45"/>
  <c r="C25" i="45"/>
  <c r="C24" i="45"/>
  <c r="C23" i="45"/>
  <c r="C22" i="45"/>
  <c r="C20" i="45"/>
  <c r="C19" i="45"/>
  <c r="C18" i="45"/>
  <c r="C17" i="45"/>
  <c r="C16" i="45"/>
  <c r="C14" i="45"/>
  <c r="C13" i="45"/>
  <c r="C12" i="45"/>
  <c r="C11" i="45"/>
  <c r="D32" i="43"/>
  <c r="D31" i="43"/>
  <c r="D30" i="43"/>
  <c r="D29" i="43"/>
  <c r="D28" i="43"/>
  <c r="D26" i="43"/>
  <c r="D25" i="43"/>
  <c r="D24" i="43"/>
  <c r="D23" i="43"/>
  <c r="D22" i="43"/>
  <c r="D20" i="43"/>
  <c r="D19" i="43"/>
  <c r="D18" i="43"/>
  <c r="D17" i="43"/>
  <c r="D16" i="43"/>
  <c r="D14" i="43"/>
  <c r="D13" i="43"/>
  <c r="D12" i="43"/>
  <c r="D11" i="43"/>
  <c r="D10" i="43"/>
  <c r="D32" i="44"/>
  <c r="D31" i="44"/>
  <c r="D30" i="44"/>
  <c r="D29" i="44"/>
  <c r="D28" i="44"/>
  <c r="D26" i="44"/>
  <c r="D25" i="44"/>
  <c r="D24" i="44"/>
  <c r="D23" i="44"/>
  <c r="D22" i="44"/>
  <c r="D20" i="44"/>
  <c r="D19" i="44"/>
  <c r="D18" i="44"/>
  <c r="D17" i="44"/>
  <c r="D16" i="44"/>
  <c r="D14" i="44"/>
  <c r="D13" i="44"/>
  <c r="D12" i="44"/>
  <c r="D11" i="44"/>
  <c r="D10" i="44"/>
  <c r="D32" i="45"/>
  <c r="D31" i="45"/>
  <c r="D30" i="45"/>
  <c r="D29" i="45"/>
  <c r="D26" i="45"/>
  <c r="D25" i="45"/>
  <c r="D24" i="45"/>
  <c r="D23" i="45"/>
  <c r="D22" i="45"/>
  <c r="D20" i="45"/>
  <c r="D19" i="45"/>
  <c r="D18" i="45"/>
  <c r="D17" i="45"/>
  <c r="D16" i="45"/>
  <c r="D14" i="45"/>
  <c r="D13" i="45"/>
  <c r="D12" i="45"/>
  <c r="D11" i="45"/>
  <c r="D10" i="45"/>
  <c r="D32" i="46"/>
  <c r="D31" i="46"/>
  <c r="D30" i="46"/>
  <c r="D29" i="46"/>
  <c r="D28" i="46"/>
  <c r="D26" i="46"/>
  <c r="D25" i="46"/>
  <c r="D24" i="46"/>
  <c r="D23" i="46"/>
  <c r="D22" i="46"/>
  <c r="D20" i="46"/>
  <c r="D19" i="46"/>
  <c r="D18" i="46"/>
  <c r="D17" i="46"/>
  <c r="D16" i="46"/>
  <c r="D14" i="46"/>
  <c r="D13" i="46"/>
  <c r="D12" i="46"/>
  <c r="D11" i="46"/>
  <c r="D10" i="46"/>
  <c r="C32" i="46"/>
  <c r="C31" i="46"/>
  <c r="C30" i="46"/>
  <c r="C29" i="46"/>
  <c r="C28" i="46"/>
  <c r="C26" i="46"/>
  <c r="C25" i="46"/>
  <c r="C24" i="46"/>
  <c r="C23" i="46"/>
  <c r="C22" i="46"/>
  <c r="C20" i="46"/>
  <c r="C19" i="46"/>
  <c r="C17" i="46"/>
  <c r="C16" i="46"/>
  <c r="F11" i="46"/>
  <c r="G11" i="46"/>
  <c r="G16" i="38"/>
  <c r="F16" i="38"/>
  <c r="D16" i="38"/>
  <c r="C16" i="38"/>
  <c r="C10" i="41"/>
  <c r="F10" i="41"/>
  <c r="G10" i="41"/>
  <c r="F11" i="41"/>
  <c r="G11" i="41"/>
  <c r="D10" i="41"/>
  <c r="C11" i="41"/>
  <c r="D11" i="41"/>
  <c r="F26" i="38"/>
  <c r="G26" i="38"/>
  <c r="C26" i="38"/>
  <c r="D26" i="38"/>
  <c r="F12" i="47"/>
  <c r="G32" i="43"/>
  <c r="F32" i="43"/>
  <c r="G31" i="43"/>
  <c r="F31" i="43"/>
  <c r="G30" i="43"/>
  <c r="F30" i="43"/>
  <c r="G29" i="43"/>
  <c r="F29" i="43"/>
  <c r="G28" i="43"/>
  <c r="F28" i="43"/>
  <c r="G26" i="43"/>
  <c r="F26" i="43"/>
  <c r="G25" i="43"/>
  <c r="F25" i="43"/>
  <c r="G24" i="43"/>
  <c r="F24" i="43"/>
  <c r="G23" i="43"/>
  <c r="F23" i="43"/>
  <c r="G22" i="43"/>
  <c r="F22" i="43"/>
  <c r="G20" i="43"/>
  <c r="F20" i="43"/>
  <c r="G19" i="43"/>
  <c r="F19" i="43"/>
  <c r="G18" i="43"/>
  <c r="F18" i="43"/>
  <c r="G17" i="43"/>
  <c r="F17" i="43"/>
  <c r="G16" i="43"/>
  <c r="F16" i="43"/>
  <c r="G14" i="43"/>
  <c r="F14" i="43"/>
  <c r="G13" i="43"/>
  <c r="F13" i="43"/>
  <c r="G12" i="43"/>
  <c r="F12" i="43"/>
  <c r="G11" i="43"/>
  <c r="F11" i="43"/>
  <c r="G10" i="43"/>
  <c r="F10" i="43"/>
  <c r="G32" i="44"/>
  <c r="F32" i="44"/>
  <c r="G31" i="44"/>
  <c r="F31" i="44"/>
  <c r="G30" i="44"/>
  <c r="F30" i="44"/>
  <c r="G29" i="44"/>
  <c r="F29" i="44"/>
  <c r="G28" i="44"/>
  <c r="F28" i="44"/>
  <c r="G26" i="44"/>
  <c r="F26" i="44"/>
  <c r="G25" i="44"/>
  <c r="F25" i="44"/>
  <c r="G24" i="44"/>
  <c r="F24" i="44"/>
  <c r="G23" i="44"/>
  <c r="F23" i="44"/>
  <c r="G22" i="44"/>
  <c r="F22" i="44"/>
  <c r="G20" i="44"/>
  <c r="F20" i="44"/>
  <c r="G19" i="44"/>
  <c r="F19" i="44"/>
  <c r="G18" i="44"/>
  <c r="F18" i="44"/>
  <c r="G17" i="44"/>
  <c r="F17" i="44"/>
  <c r="G16" i="44"/>
  <c r="F16" i="44"/>
  <c r="G14" i="44"/>
  <c r="F14" i="44"/>
  <c r="G13" i="44"/>
  <c r="F13" i="44"/>
  <c r="G12" i="44"/>
  <c r="F12" i="44"/>
  <c r="G11" i="44"/>
  <c r="F11" i="44"/>
  <c r="G10" i="44"/>
  <c r="F10" i="44"/>
  <c r="G32" i="45"/>
  <c r="F32" i="45"/>
  <c r="G31" i="45"/>
  <c r="F31" i="45"/>
  <c r="G30" i="45"/>
  <c r="F30" i="45"/>
  <c r="G29" i="45"/>
  <c r="F29" i="45"/>
  <c r="G26" i="45"/>
  <c r="F26" i="45"/>
  <c r="G25" i="45"/>
  <c r="F25" i="45"/>
  <c r="G24" i="45"/>
  <c r="F24" i="45"/>
  <c r="G23" i="45"/>
  <c r="F23" i="45"/>
  <c r="G22" i="45"/>
  <c r="H22" i="45"/>
  <c r="F22" i="45"/>
  <c r="G20" i="45"/>
  <c r="F20" i="45"/>
  <c r="G19" i="45"/>
  <c r="F19" i="45"/>
  <c r="G18" i="45"/>
  <c r="F18" i="45"/>
  <c r="G17" i="45"/>
  <c r="F17" i="45"/>
  <c r="G16" i="45"/>
  <c r="F16" i="45"/>
  <c r="G14" i="45"/>
  <c r="F14" i="45"/>
  <c r="G13" i="45"/>
  <c r="F13" i="45"/>
  <c r="G12" i="45"/>
  <c r="F12" i="45"/>
  <c r="G11" i="45"/>
  <c r="F11" i="45"/>
  <c r="G10" i="45"/>
  <c r="F10" i="45"/>
  <c r="G32" i="46"/>
  <c r="F32" i="46"/>
  <c r="G31" i="46"/>
  <c r="F31" i="46"/>
  <c r="G30" i="46"/>
  <c r="F30" i="46"/>
  <c r="G29" i="46"/>
  <c r="F29" i="46"/>
  <c r="G28" i="46"/>
  <c r="F28" i="46"/>
  <c r="G26" i="46"/>
  <c r="F26" i="46"/>
  <c r="G25" i="46"/>
  <c r="F25" i="46"/>
  <c r="G24" i="46"/>
  <c r="F24" i="46"/>
  <c r="G23" i="46"/>
  <c r="F23" i="46"/>
  <c r="G22" i="46"/>
  <c r="F22" i="46"/>
  <c r="G20" i="46"/>
  <c r="F20" i="46"/>
  <c r="G19" i="46"/>
  <c r="F19" i="46"/>
  <c r="G18" i="46"/>
  <c r="F18" i="46"/>
  <c r="G17" i="46"/>
  <c r="F17" i="46"/>
  <c r="G16" i="46"/>
  <c r="F16" i="46"/>
  <c r="G14" i="46"/>
  <c r="F14" i="46"/>
  <c r="G13" i="46"/>
  <c r="F13" i="46"/>
  <c r="G12" i="46"/>
  <c r="F12" i="46"/>
  <c r="G10" i="46"/>
  <c r="F10" i="46"/>
  <c r="G32" i="47"/>
  <c r="F32" i="47"/>
  <c r="G31" i="47"/>
  <c r="F31" i="47"/>
  <c r="G30" i="47"/>
  <c r="F30" i="47"/>
  <c r="G29" i="47"/>
  <c r="F29" i="47"/>
  <c r="G28" i="47"/>
  <c r="F28" i="47"/>
  <c r="G26" i="47"/>
  <c r="F26" i="47"/>
  <c r="G25" i="47"/>
  <c r="F25" i="47"/>
  <c r="G24" i="47"/>
  <c r="F24" i="47"/>
  <c r="G23" i="47"/>
  <c r="F23" i="47"/>
  <c r="G22" i="47"/>
  <c r="F22" i="47"/>
  <c r="G20" i="47"/>
  <c r="F20" i="47"/>
  <c r="G19" i="47"/>
  <c r="F19" i="47"/>
  <c r="G18" i="47"/>
  <c r="F18" i="47"/>
  <c r="G17" i="47"/>
  <c r="F17" i="47"/>
  <c r="G16" i="47"/>
  <c r="F16" i="47"/>
  <c r="D32" i="47"/>
  <c r="C32" i="47"/>
  <c r="D31" i="47"/>
  <c r="C31" i="47"/>
  <c r="D30" i="47"/>
  <c r="C30" i="47"/>
  <c r="D29" i="47"/>
  <c r="C29" i="47"/>
  <c r="D28" i="47"/>
  <c r="C28" i="47"/>
  <c r="D26" i="47"/>
  <c r="C26" i="47"/>
  <c r="D25" i="47"/>
  <c r="C25" i="47"/>
  <c r="D24" i="47"/>
  <c r="C24" i="47"/>
  <c r="D23" i="47"/>
  <c r="C23" i="47"/>
  <c r="D22" i="47"/>
  <c r="C22" i="47"/>
  <c r="D20" i="47"/>
  <c r="C20" i="47"/>
  <c r="D19" i="47"/>
  <c r="C19" i="47"/>
  <c r="D18" i="47"/>
  <c r="C18" i="47"/>
  <c r="D17" i="47"/>
  <c r="C17" i="47"/>
  <c r="D16" i="47"/>
  <c r="C16" i="47"/>
  <c r="G14" i="47"/>
  <c r="F14" i="47"/>
  <c r="G13" i="47"/>
  <c r="F13" i="47"/>
  <c r="G12" i="47"/>
  <c r="G11" i="47"/>
  <c r="F11" i="47"/>
  <c r="D14" i="47"/>
  <c r="C14" i="47"/>
  <c r="D13" i="47"/>
  <c r="C13" i="47"/>
  <c r="D12" i="47"/>
  <c r="C12" i="47"/>
  <c r="D11" i="47"/>
  <c r="C11" i="47"/>
  <c r="G10" i="47"/>
  <c r="F10" i="47"/>
  <c r="D10" i="47"/>
  <c r="C10" i="47"/>
  <c r="G32" i="48"/>
  <c r="F32" i="48"/>
  <c r="G31" i="48"/>
  <c r="F31" i="48"/>
  <c r="G30" i="48"/>
  <c r="F30" i="48"/>
  <c r="G29" i="48"/>
  <c r="F29" i="48"/>
  <c r="G28" i="48"/>
  <c r="F28" i="48"/>
  <c r="G26" i="48"/>
  <c r="F26" i="48"/>
  <c r="G25" i="48"/>
  <c r="F25" i="48"/>
  <c r="G24" i="48"/>
  <c r="F24" i="48"/>
  <c r="G23" i="48"/>
  <c r="F23" i="48"/>
  <c r="G22" i="48"/>
  <c r="F22" i="48"/>
  <c r="G20" i="48"/>
  <c r="F20" i="48"/>
  <c r="G19" i="48"/>
  <c r="F19" i="48"/>
  <c r="G18" i="48"/>
  <c r="F18" i="48"/>
  <c r="G17" i="48"/>
  <c r="F17" i="48"/>
  <c r="G16" i="48"/>
  <c r="F16" i="48"/>
  <c r="G14" i="48"/>
  <c r="F14" i="48"/>
  <c r="G13" i="48"/>
  <c r="F13" i="48"/>
  <c r="G12" i="48"/>
  <c r="F12" i="48"/>
  <c r="G11" i="48"/>
  <c r="F11" i="48"/>
  <c r="D32" i="48"/>
  <c r="C32" i="48"/>
  <c r="D31" i="48"/>
  <c r="C31" i="48"/>
  <c r="D30" i="48"/>
  <c r="C30" i="48"/>
  <c r="D29" i="48"/>
  <c r="C29" i="48"/>
  <c r="D28" i="48"/>
  <c r="C28" i="48"/>
  <c r="D26" i="48"/>
  <c r="C26" i="48"/>
  <c r="D25" i="48"/>
  <c r="C25" i="48"/>
  <c r="D24" i="48"/>
  <c r="C24" i="48"/>
  <c r="D23" i="48"/>
  <c r="C23" i="48"/>
  <c r="D22" i="48"/>
  <c r="C22" i="48"/>
  <c r="D20" i="48"/>
  <c r="C20" i="48"/>
  <c r="D19" i="48"/>
  <c r="C19" i="48"/>
  <c r="D18" i="48"/>
  <c r="C18" i="48"/>
  <c r="D17" i="48"/>
  <c r="C17" i="48"/>
  <c r="D16" i="48"/>
  <c r="C16" i="48"/>
  <c r="D14" i="48"/>
  <c r="C14" i="48"/>
  <c r="D13" i="48"/>
  <c r="C13" i="48"/>
  <c r="D12" i="48"/>
  <c r="C12" i="48"/>
  <c r="D11" i="48"/>
  <c r="C11" i="48"/>
  <c r="G10" i="48"/>
  <c r="F10" i="48"/>
  <c r="D10" i="48"/>
  <c r="C10" i="48"/>
  <c r="G32" i="49"/>
  <c r="F32" i="49"/>
  <c r="G31" i="49"/>
  <c r="F31" i="49"/>
  <c r="G30" i="49"/>
  <c r="F30" i="49"/>
  <c r="G29" i="49"/>
  <c r="F29" i="49"/>
  <c r="G28" i="49"/>
  <c r="F28" i="49"/>
  <c r="G26" i="49"/>
  <c r="F26" i="49"/>
  <c r="G25" i="49"/>
  <c r="F25" i="49"/>
  <c r="G24" i="49"/>
  <c r="F24" i="49"/>
  <c r="G23" i="49"/>
  <c r="F23" i="49"/>
  <c r="G20" i="49"/>
  <c r="F20" i="49"/>
  <c r="G19" i="49"/>
  <c r="F19" i="49"/>
  <c r="G18" i="49"/>
  <c r="F18" i="49"/>
  <c r="G17" i="49"/>
  <c r="F17" i="49"/>
  <c r="G16" i="49"/>
  <c r="F16" i="49"/>
  <c r="D32" i="49"/>
  <c r="C32" i="49"/>
  <c r="D31" i="49"/>
  <c r="C31" i="49"/>
  <c r="D30" i="49"/>
  <c r="C30" i="49"/>
  <c r="D29" i="49"/>
  <c r="C29" i="49"/>
  <c r="D28" i="49"/>
  <c r="C28" i="49"/>
  <c r="D26" i="49"/>
  <c r="C26" i="49"/>
  <c r="D25" i="49"/>
  <c r="C25" i="49"/>
  <c r="D24" i="49"/>
  <c r="C24" i="49"/>
  <c r="D23" i="49"/>
  <c r="C23" i="49"/>
  <c r="D20" i="49"/>
  <c r="C20" i="49"/>
  <c r="D19" i="49"/>
  <c r="C19" i="49"/>
  <c r="D18" i="49"/>
  <c r="C18" i="49"/>
  <c r="D17" i="49"/>
  <c r="C17" i="49"/>
  <c r="D16" i="49"/>
  <c r="C16" i="49"/>
  <c r="G14" i="49"/>
  <c r="F14" i="49"/>
  <c r="G13" i="49"/>
  <c r="F13" i="49"/>
  <c r="G12" i="49"/>
  <c r="F12" i="49"/>
  <c r="G11" i="49"/>
  <c r="F11" i="49"/>
  <c r="D14" i="49"/>
  <c r="C14" i="49"/>
  <c r="D13" i="49"/>
  <c r="C13" i="49"/>
  <c r="D12" i="49"/>
  <c r="C12" i="49"/>
  <c r="D11" i="49"/>
  <c r="C11" i="49"/>
  <c r="G10" i="49"/>
  <c r="F10" i="49"/>
  <c r="D10" i="49"/>
  <c r="C10" i="49"/>
  <c r="G32" i="42"/>
  <c r="F32" i="42"/>
  <c r="G31" i="42"/>
  <c r="F31" i="42"/>
  <c r="G30" i="42"/>
  <c r="F30" i="42"/>
  <c r="G29" i="42"/>
  <c r="F29" i="42"/>
  <c r="G28" i="42"/>
  <c r="F28" i="42"/>
  <c r="D32" i="42"/>
  <c r="C32" i="42"/>
  <c r="D31" i="42"/>
  <c r="C31" i="42"/>
  <c r="D30" i="42"/>
  <c r="C30" i="42"/>
  <c r="D29" i="42"/>
  <c r="C29" i="42"/>
  <c r="D28" i="42"/>
  <c r="C28" i="42"/>
  <c r="G26" i="42"/>
  <c r="F26" i="42"/>
  <c r="G25" i="42"/>
  <c r="F25" i="42"/>
  <c r="G24" i="42"/>
  <c r="F24" i="42"/>
  <c r="G23" i="42"/>
  <c r="F23" i="42"/>
  <c r="G22" i="42"/>
  <c r="F22" i="42"/>
  <c r="D26" i="42"/>
  <c r="C26" i="42"/>
  <c r="D25" i="42"/>
  <c r="C25" i="42"/>
  <c r="D24" i="42"/>
  <c r="C24" i="42"/>
  <c r="D23" i="42"/>
  <c r="C23" i="42"/>
  <c r="D22" i="42"/>
  <c r="C22" i="42"/>
  <c r="G20" i="42"/>
  <c r="F20" i="42"/>
  <c r="G19" i="42"/>
  <c r="F19" i="42"/>
  <c r="G18" i="42"/>
  <c r="F18" i="42"/>
  <c r="G17" i="42"/>
  <c r="F17" i="42"/>
  <c r="G16" i="42"/>
  <c r="F16" i="42"/>
  <c r="D20" i="42"/>
  <c r="C20" i="42"/>
  <c r="D19" i="42"/>
  <c r="C19" i="42"/>
  <c r="D18" i="42"/>
  <c r="C18" i="42"/>
  <c r="D17" i="42"/>
  <c r="C17" i="42"/>
  <c r="D16" i="42"/>
  <c r="C16" i="42"/>
  <c r="G14" i="42"/>
  <c r="F14" i="42"/>
  <c r="G13" i="42"/>
  <c r="F13" i="42"/>
  <c r="G12" i="42"/>
  <c r="F12" i="42"/>
  <c r="G11" i="42"/>
  <c r="F11" i="42"/>
  <c r="D14" i="42"/>
  <c r="C14" i="42"/>
  <c r="D13" i="42"/>
  <c r="C13" i="42"/>
  <c r="D12" i="42"/>
  <c r="C12" i="42"/>
  <c r="D11" i="42"/>
  <c r="C11" i="42"/>
  <c r="G10" i="42"/>
  <c r="F10" i="42"/>
  <c r="D10" i="42"/>
  <c r="C10" i="42"/>
  <c r="G31" i="41"/>
  <c r="F31" i="41"/>
  <c r="G25" i="41"/>
  <c r="F25" i="41"/>
  <c r="G24" i="41"/>
  <c r="F24" i="41"/>
  <c r="G23" i="41"/>
  <c r="F23" i="41"/>
  <c r="G22" i="41"/>
  <c r="F22" i="41"/>
  <c r="G20" i="41"/>
  <c r="F20" i="41"/>
  <c r="G19" i="41"/>
  <c r="F19" i="41"/>
  <c r="G18" i="41"/>
  <c r="F18" i="41"/>
  <c r="D31" i="41"/>
  <c r="C31" i="41"/>
  <c r="D25" i="41"/>
  <c r="C25" i="41"/>
  <c r="D24" i="41"/>
  <c r="C24" i="41"/>
  <c r="D23" i="41"/>
  <c r="C23" i="41"/>
  <c r="D22" i="41"/>
  <c r="C22" i="41"/>
  <c r="D20" i="41"/>
  <c r="C20" i="41"/>
  <c r="D19" i="41"/>
  <c r="C19" i="41"/>
  <c r="D18" i="41"/>
  <c r="C18" i="41"/>
  <c r="G13" i="41"/>
  <c r="F13" i="41"/>
  <c r="G12" i="41"/>
  <c r="F12" i="41"/>
  <c r="D13" i="41"/>
  <c r="C13" i="41"/>
  <c r="D12" i="41"/>
  <c r="C12" i="41"/>
  <c r="G32" i="40"/>
  <c r="F32" i="40"/>
  <c r="G31" i="40"/>
  <c r="G30" i="40"/>
  <c r="F30" i="40"/>
  <c r="G29" i="40"/>
  <c r="F29" i="40"/>
  <c r="G28" i="40"/>
  <c r="F28" i="40"/>
  <c r="G26" i="40"/>
  <c r="F26" i="40"/>
  <c r="G25" i="40"/>
  <c r="F25" i="40"/>
  <c r="G24" i="40"/>
  <c r="F24" i="40"/>
  <c r="G23" i="40"/>
  <c r="F23" i="40"/>
  <c r="G22" i="40"/>
  <c r="F22" i="40"/>
  <c r="G20" i="40"/>
  <c r="F20" i="40"/>
  <c r="G19" i="40"/>
  <c r="F19" i="40"/>
  <c r="G18" i="40"/>
  <c r="F18" i="40"/>
  <c r="G17" i="40"/>
  <c r="F17" i="40"/>
  <c r="F16" i="40"/>
  <c r="D32" i="40"/>
  <c r="C32" i="40"/>
  <c r="D31" i="40"/>
  <c r="C31" i="40"/>
  <c r="D30" i="40"/>
  <c r="C30" i="40"/>
  <c r="D29" i="40"/>
  <c r="C29" i="40"/>
  <c r="D28" i="40"/>
  <c r="C28" i="40"/>
  <c r="D26" i="40"/>
  <c r="C26" i="40"/>
  <c r="D25" i="40"/>
  <c r="C25" i="40"/>
  <c r="D24" i="40"/>
  <c r="C24" i="40"/>
  <c r="D23" i="40"/>
  <c r="C23" i="40"/>
  <c r="C22" i="40"/>
  <c r="D20" i="40"/>
  <c r="C20" i="40"/>
  <c r="D19" i="40"/>
  <c r="C19" i="40"/>
  <c r="D18" i="40"/>
  <c r="C18" i="40"/>
  <c r="D17" i="40"/>
  <c r="C17" i="40"/>
  <c r="D16" i="40"/>
  <c r="C16" i="40"/>
  <c r="G14" i="40"/>
  <c r="F14" i="40"/>
  <c r="G13" i="40"/>
  <c r="F13" i="40"/>
  <c r="G12" i="40"/>
  <c r="F12" i="40"/>
  <c r="G11" i="40"/>
  <c r="F11" i="40"/>
  <c r="G10" i="40"/>
  <c r="F10" i="40"/>
  <c r="D14" i="40"/>
  <c r="C14" i="40"/>
  <c r="D13" i="40"/>
  <c r="C13" i="40"/>
  <c r="D12" i="40"/>
  <c r="C12" i="40"/>
  <c r="D11" i="40"/>
  <c r="C11" i="40"/>
  <c r="D10" i="40"/>
  <c r="C10" i="40"/>
  <c r="G32" i="39"/>
  <c r="F32" i="39"/>
  <c r="G31" i="39"/>
  <c r="F31" i="39"/>
  <c r="G30" i="39"/>
  <c r="F30" i="39"/>
  <c r="G29" i="39"/>
  <c r="F29" i="39"/>
  <c r="G28" i="39"/>
  <c r="F28" i="39"/>
  <c r="G26" i="39"/>
  <c r="F26" i="39"/>
  <c r="G25" i="39"/>
  <c r="F25" i="39"/>
  <c r="G24" i="39"/>
  <c r="F24" i="39"/>
  <c r="G23" i="39"/>
  <c r="F23" i="39"/>
  <c r="G22" i="39"/>
  <c r="F22" i="39"/>
  <c r="G20" i="39"/>
  <c r="F20" i="39"/>
  <c r="G19" i="39"/>
  <c r="F19" i="39"/>
  <c r="G18" i="39"/>
  <c r="F18" i="39"/>
  <c r="G17" i="39"/>
  <c r="F17" i="39"/>
  <c r="G16" i="39"/>
  <c r="F16" i="39"/>
  <c r="D32" i="39"/>
  <c r="C32" i="39"/>
  <c r="D31" i="39"/>
  <c r="C31" i="39"/>
  <c r="D30" i="39"/>
  <c r="C30" i="39"/>
  <c r="D29" i="39"/>
  <c r="C29" i="39"/>
  <c r="D28" i="39"/>
  <c r="C28" i="39"/>
  <c r="D26" i="39"/>
  <c r="C26" i="39"/>
  <c r="D25" i="39"/>
  <c r="C25" i="39"/>
  <c r="D24" i="39"/>
  <c r="C24" i="39"/>
  <c r="D23" i="39"/>
  <c r="C23" i="39"/>
  <c r="D22" i="39"/>
  <c r="C22" i="39"/>
  <c r="D20" i="39"/>
  <c r="C20" i="39"/>
  <c r="D19" i="39"/>
  <c r="C19" i="39"/>
  <c r="D18" i="39"/>
  <c r="C18" i="39"/>
  <c r="D17" i="39"/>
  <c r="C17" i="39"/>
  <c r="D16" i="39"/>
  <c r="C16" i="39"/>
  <c r="G14" i="39"/>
  <c r="F14" i="39"/>
  <c r="G13" i="39"/>
  <c r="F13" i="39"/>
  <c r="G12" i="39"/>
  <c r="F12" i="39"/>
  <c r="G11" i="39"/>
  <c r="F11" i="39"/>
  <c r="G10" i="39"/>
  <c r="F10" i="39"/>
  <c r="D14" i="39"/>
  <c r="C14" i="39"/>
  <c r="D13" i="39"/>
  <c r="C13" i="39"/>
  <c r="D12" i="39"/>
  <c r="C12" i="39"/>
  <c r="D11" i="39"/>
  <c r="C11" i="39"/>
  <c r="D10" i="39"/>
  <c r="C10" i="39"/>
  <c r="G32" i="38"/>
  <c r="F32" i="38"/>
  <c r="G31" i="38"/>
  <c r="F31" i="38"/>
  <c r="G30" i="38"/>
  <c r="F30" i="38"/>
  <c r="G29" i="38"/>
  <c r="F29" i="38"/>
  <c r="G25" i="38"/>
  <c r="F25" i="38"/>
  <c r="G24" i="38"/>
  <c r="F24" i="38"/>
  <c r="G23" i="38"/>
  <c r="F23" i="38"/>
  <c r="G22" i="38"/>
  <c r="F22" i="38"/>
  <c r="G20" i="38"/>
  <c r="F20" i="38"/>
  <c r="G19" i="38"/>
  <c r="F19" i="38"/>
  <c r="G18" i="38"/>
  <c r="F18" i="38"/>
  <c r="G17" i="38"/>
  <c r="F17" i="38"/>
  <c r="D32" i="38"/>
  <c r="C32" i="38"/>
  <c r="D31" i="38"/>
  <c r="C31" i="38"/>
  <c r="D30" i="38"/>
  <c r="C30" i="38"/>
  <c r="D29" i="38"/>
  <c r="C29" i="38"/>
  <c r="D25" i="38"/>
  <c r="C25" i="38"/>
  <c r="D24" i="38"/>
  <c r="C24" i="38"/>
  <c r="D23" i="38"/>
  <c r="C23" i="38"/>
  <c r="D22" i="38"/>
  <c r="C22" i="38"/>
  <c r="D20" i="38"/>
  <c r="C20" i="38"/>
  <c r="D19" i="38"/>
  <c r="C19" i="38"/>
  <c r="D18" i="38"/>
  <c r="C18" i="38"/>
  <c r="D17" i="38"/>
  <c r="C17" i="38"/>
  <c r="G14" i="38"/>
  <c r="F14" i="38"/>
  <c r="G13" i="38"/>
  <c r="F13" i="38"/>
  <c r="G12" i="38"/>
  <c r="F12" i="38"/>
  <c r="G11" i="38"/>
  <c r="F11" i="38"/>
  <c r="D14" i="38"/>
  <c r="C14" i="38"/>
  <c r="D13" i="38"/>
  <c r="C13" i="38"/>
  <c r="D12" i="38"/>
  <c r="C12" i="38"/>
  <c r="D11" i="38"/>
  <c r="C11" i="38"/>
  <c r="G14" i="37"/>
  <c r="F14" i="37"/>
  <c r="G13" i="37"/>
  <c r="F13" i="37"/>
  <c r="G12" i="37"/>
  <c r="F12" i="37"/>
  <c r="G11" i="37"/>
  <c r="F11" i="37"/>
  <c r="F10" i="37"/>
  <c r="G10" i="37"/>
  <c r="D14" i="37"/>
  <c r="C14" i="37"/>
  <c r="D13" i="37"/>
  <c r="C13" i="37"/>
  <c r="D12" i="37"/>
  <c r="C12" i="37"/>
  <c r="D11" i="37"/>
  <c r="C11" i="37"/>
  <c r="E11" i="37"/>
  <c r="D10" i="37"/>
  <c r="C10" i="37"/>
  <c r="E22" i="45"/>
  <c r="P25" i="41"/>
  <c r="Q25" i="41"/>
  <c r="E26" i="43"/>
  <c r="L3" i="38"/>
  <c r="L3" i="39"/>
  <c r="L3" i="40"/>
  <c r="L3" i="41"/>
  <c r="L3" i="42"/>
  <c r="L3" i="49"/>
  <c r="L3" i="48"/>
  <c r="L3" i="47"/>
  <c r="L3" i="46"/>
  <c r="L3" i="45"/>
  <c r="L3" i="44"/>
  <c r="D3" i="43"/>
  <c r="D3" i="44"/>
  <c r="D3" i="45"/>
  <c r="D3" i="46"/>
  <c r="D3" i="47"/>
  <c r="D3" i="48"/>
  <c r="D3" i="49"/>
  <c r="D3" i="42"/>
  <c r="D3" i="41"/>
  <c r="D3" i="40"/>
  <c r="D3" i="39"/>
  <c r="D3" i="37"/>
  <c r="Q16" i="38"/>
  <c r="Q17" i="38"/>
  <c r="Q18" i="38"/>
  <c r="Q19" i="38"/>
  <c r="P19" i="38"/>
  <c r="E29" i="43"/>
  <c r="E30" i="43"/>
  <c r="E28" i="43"/>
  <c r="E12" i="38"/>
  <c r="E11" i="38"/>
  <c r="E28" i="42"/>
  <c r="H30" i="40"/>
  <c r="H25" i="40"/>
  <c r="H10" i="38"/>
  <c r="H10" i="41"/>
  <c r="H32" i="39"/>
  <c r="H28" i="46"/>
  <c r="E32" i="40"/>
  <c r="H26" i="39"/>
  <c r="E26" i="39"/>
  <c r="H28" i="39"/>
  <c r="E28" i="37"/>
  <c r="U3" i="37"/>
  <c r="A10" i="37" s="1"/>
  <c r="A11" i="37" s="1"/>
  <c r="A12" i="37" s="1"/>
  <c r="A13" i="37" s="1"/>
  <c r="A14" i="37" s="1"/>
  <c r="A16" i="37" s="1"/>
  <c r="A17" i="37" s="1"/>
  <c r="A18" i="37" s="1"/>
  <c r="A19" i="37" s="1"/>
  <c r="A20" i="37" s="1"/>
  <c r="A22" i="37" s="1"/>
  <c r="A23" i="37" s="1"/>
  <c r="A24" i="37" s="1"/>
  <c r="A25" i="37" s="1"/>
  <c r="A26" i="37" s="1"/>
  <c r="A28" i="37" s="1"/>
  <c r="A29" i="37" s="1"/>
  <c r="A30" i="37" s="1"/>
  <c r="A31" i="37" s="1"/>
  <c r="A32" i="37" s="1"/>
  <c r="E32" i="37"/>
  <c r="E24" i="45"/>
  <c r="E28" i="45"/>
  <c r="E29" i="45"/>
  <c r="E30" i="37"/>
  <c r="E10" i="37"/>
  <c r="H10" i="37"/>
  <c r="H11" i="37"/>
  <c r="E12" i="37"/>
  <c r="H12" i="37"/>
  <c r="E13" i="37"/>
  <c r="H13" i="37"/>
  <c r="E14" i="37"/>
  <c r="H14" i="37"/>
  <c r="E16" i="37"/>
  <c r="H16" i="37"/>
  <c r="J16" i="37" s="1"/>
  <c r="E17" i="37"/>
  <c r="H17" i="37"/>
  <c r="I17" i="37" s="1"/>
  <c r="H19" i="37"/>
  <c r="E20" i="37"/>
  <c r="E23" i="37"/>
  <c r="H25" i="37"/>
  <c r="Q10" i="37"/>
  <c r="D16" i="13"/>
  <c r="Q11" i="37"/>
  <c r="P11" i="37"/>
  <c r="E16" i="13"/>
  <c r="Q12" i="37"/>
  <c r="P12" i="37"/>
  <c r="F16" i="13"/>
  <c r="Q13" i="37"/>
  <c r="P13" i="37"/>
  <c r="G16" i="13"/>
  <c r="Q14" i="37"/>
  <c r="H16" i="13"/>
  <c r="Q16" i="37"/>
  <c r="P16" i="37"/>
  <c r="L15" i="13"/>
  <c r="L16" i="13"/>
  <c r="Q17" i="37"/>
  <c r="P17" i="37"/>
  <c r="M16" i="13"/>
  <c r="Q18" i="37"/>
  <c r="P18" i="37"/>
  <c r="N16" i="13"/>
  <c r="Q19" i="37"/>
  <c r="P19" i="37"/>
  <c r="O15" i="13"/>
  <c r="O16" i="13"/>
  <c r="Q20" i="37"/>
  <c r="P20" i="37"/>
  <c r="P16" i="13"/>
  <c r="Q22" i="37"/>
  <c r="Q23" i="37"/>
  <c r="Q24" i="37"/>
  <c r="P24" i="37" s="1"/>
  <c r="Q25" i="37"/>
  <c r="Q26" i="37"/>
  <c r="P26" i="37"/>
  <c r="Q28" i="37"/>
  <c r="Q29" i="37"/>
  <c r="P29" i="37"/>
  <c r="Q30" i="37"/>
  <c r="P30" i="37"/>
  <c r="Q31" i="37"/>
  <c r="R31" i="37" s="1"/>
  <c r="P31" i="37"/>
  <c r="Q32" i="37"/>
  <c r="P32" i="37"/>
  <c r="N33" i="37"/>
  <c r="O33" i="37"/>
  <c r="I15" i="13"/>
  <c r="I18" i="13"/>
  <c r="I22" i="13"/>
  <c r="B6" i="13"/>
  <c r="P10" i="37"/>
  <c r="P14" i="37"/>
  <c r="P22" i="37"/>
  <c r="P23" i="37"/>
  <c r="P25" i="37"/>
  <c r="P28" i="37"/>
  <c r="L3" i="37"/>
  <c r="Q10" i="38"/>
  <c r="Q11" i="38"/>
  <c r="Q12" i="38"/>
  <c r="H13" i="38"/>
  <c r="Q13" i="38"/>
  <c r="E14" i="38"/>
  <c r="Q14" i="38"/>
  <c r="H16" i="38"/>
  <c r="E19" i="38"/>
  <c r="Q20" i="38"/>
  <c r="Q22" i="38"/>
  <c r="E23" i="38"/>
  <c r="Q23" i="38"/>
  <c r="Q24" i="38"/>
  <c r="Q25" i="38"/>
  <c r="Q26" i="38"/>
  <c r="Q28" i="38"/>
  <c r="E29" i="38"/>
  <c r="Q29" i="38"/>
  <c r="Q30" i="38"/>
  <c r="E31" i="38"/>
  <c r="Q31" i="38"/>
  <c r="E32" i="38"/>
  <c r="Q32" i="38"/>
  <c r="N33" i="38"/>
  <c r="O33" i="38"/>
  <c r="P10" i="38"/>
  <c r="N34" i="38" s="1"/>
  <c r="P11" i="38"/>
  <c r="P12" i="38"/>
  <c r="P13" i="38"/>
  <c r="P14" i="38"/>
  <c r="P16" i="38"/>
  <c r="P17" i="38"/>
  <c r="P18" i="38"/>
  <c r="P20" i="38"/>
  <c r="P22" i="38"/>
  <c r="P23" i="38"/>
  <c r="P24" i="38"/>
  <c r="P25" i="38"/>
  <c r="P26" i="38"/>
  <c r="P28" i="38"/>
  <c r="P29" i="38"/>
  <c r="P30" i="38"/>
  <c r="P31" i="38"/>
  <c r="P32" i="38"/>
  <c r="D3" i="38"/>
  <c r="Q10" i="39"/>
  <c r="Q11" i="39"/>
  <c r="H12" i="39"/>
  <c r="Q12" i="39"/>
  <c r="Q13" i="39"/>
  <c r="H14" i="39"/>
  <c r="Q14" i="39"/>
  <c r="Q16" i="39"/>
  <c r="Q17" i="39"/>
  <c r="Q18" i="39"/>
  <c r="Q19" i="39"/>
  <c r="Q20" i="39"/>
  <c r="Q22" i="39"/>
  <c r="Q23" i="39"/>
  <c r="H24" i="39"/>
  <c r="Q24" i="39"/>
  <c r="Q25" i="39"/>
  <c r="Q26" i="39"/>
  <c r="Q28" i="39"/>
  <c r="Q29" i="39"/>
  <c r="Q30" i="39"/>
  <c r="Q31" i="39"/>
  <c r="Q32" i="39"/>
  <c r="N33" i="39"/>
  <c r="O33" i="39"/>
  <c r="P10" i="39"/>
  <c r="P11" i="39"/>
  <c r="P12" i="39"/>
  <c r="P13" i="39"/>
  <c r="P14" i="39"/>
  <c r="P16" i="39"/>
  <c r="P17" i="39"/>
  <c r="P18" i="39"/>
  <c r="P19" i="39"/>
  <c r="P20" i="39"/>
  <c r="P22" i="39"/>
  <c r="P23" i="39"/>
  <c r="P24" i="39"/>
  <c r="P25" i="39"/>
  <c r="P26" i="39"/>
  <c r="P28" i="39"/>
  <c r="P29" i="39"/>
  <c r="P30" i="39"/>
  <c r="P31" i="39"/>
  <c r="P32" i="39"/>
  <c r="Q10" i="40"/>
  <c r="H11" i="40"/>
  <c r="Q11" i="40"/>
  <c r="Q12" i="40"/>
  <c r="Q13" i="40"/>
  <c r="Q14" i="40"/>
  <c r="Q16" i="40"/>
  <c r="H17" i="40"/>
  <c r="Q17" i="40"/>
  <c r="Q18" i="40"/>
  <c r="E19" i="40"/>
  <c r="H19" i="40"/>
  <c r="Q19" i="40"/>
  <c r="E20" i="40"/>
  <c r="H20" i="40"/>
  <c r="Q20" i="40"/>
  <c r="H22" i="40"/>
  <c r="Q22" i="40"/>
  <c r="E23" i="40"/>
  <c r="H23" i="40"/>
  <c r="Q23" i="40"/>
  <c r="Q24" i="40"/>
  <c r="Q25" i="40"/>
  <c r="E26" i="40"/>
  <c r="H26" i="40"/>
  <c r="Q26" i="40"/>
  <c r="E28" i="40"/>
  <c r="H28" i="40"/>
  <c r="Q28" i="40"/>
  <c r="E29" i="40"/>
  <c r="H29" i="40"/>
  <c r="Q29" i="40"/>
  <c r="P29" i="40"/>
  <c r="Q30" i="40"/>
  <c r="H31" i="40"/>
  <c r="Q31" i="40"/>
  <c r="H32" i="40"/>
  <c r="Q32" i="40"/>
  <c r="P32" i="40"/>
  <c r="N33" i="40"/>
  <c r="O33" i="40"/>
  <c r="P10" i="40"/>
  <c r="P11" i="40"/>
  <c r="P12" i="40"/>
  <c r="P13" i="40"/>
  <c r="P14" i="40"/>
  <c r="P16" i="40"/>
  <c r="P17" i="40"/>
  <c r="P18" i="40"/>
  <c r="P19" i="40"/>
  <c r="P20" i="40"/>
  <c r="P22" i="40"/>
  <c r="P23" i="40"/>
  <c r="P24" i="40"/>
  <c r="P25" i="40"/>
  <c r="P26" i="40"/>
  <c r="P28" i="40"/>
  <c r="P30" i="40"/>
  <c r="P31" i="40"/>
  <c r="Q10" i="41"/>
  <c r="Q11" i="41"/>
  <c r="Q12" i="41"/>
  <c r="Q13" i="41"/>
  <c r="E14" i="41"/>
  <c r="H14" i="41"/>
  <c r="Q14" i="41"/>
  <c r="E16" i="41"/>
  <c r="H16" i="41"/>
  <c r="Q16" i="41"/>
  <c r="E17" i="41"/>
  <c r="H17" i="41"/>
  <c r="Q17" i="41"/>
  <c r="E18" i="41"/>
  <c r="H18" i="41"/>
  <c r="Q18" i="41"/>
  <c r="Q19" i="41"/>
  <c r="Q20" i="41"/>
  <c r="Q22" i="41"/>
  <c r="Q23" i="41"/>
  <c r="E24" i="41"/>
  <c r="Q24" i="41"/>
  <c r="Q26" i="41"/>
  <c r="Q28" i="41"/>
  <c r="Q29" i="41"/>
  <c r="Q30" i="41"/>
  <c r="Q31" i="41"/>
  <c r="Q32" i="41"/>
  <c r="N33" i="41"/>
  <c r="O33" i="41"/>
  <c r="P10" i="41"/>
  <c r="P11" i="41"/>
  <c r="P12" i="41"/>
  <c r="P13" i="41"/>
  <c r="P14" i="41"/>
  <c r="P16" i="41"/>
  <c r="P17" i="41"/>
  <c r="P18" i="41"/>
  <c r="P19" i="41"/>
  <c r="P20" i="41"/>
  <c r="P22" i="41"/>
  <c r="P23" i="41"/>
  <c r="P24" i="41"/>
  <c r="P26" i="41"/>
  <c r="P28" i="41"/>
  <c r="P29" i="41"/>
  <c r="P30" i="41"/>
  <c r="P31" i="41"/>
  <c r="P32" i="41"/>
  <c r="Q10" i="42"/>
  <c r="Q11" i="42"/>
  <c r="Q12" i="42"/>
  <c r="Q13" i="42"/>
  <c r="Q14" i="42"/>
  <c r="Q16" i="42"/>
  <c r="Q17" i="42"/>
  <c r="Q18" i="42"/>
  <c r="Q19" i="42"/>
  <c r="Q20" i="42"/>
  <c r="H22" i="42"/>
  <c r="Q22" i="42"/>
  <c r="Q23" i="42"/>
  <c r="Q24" i="42"/>
  <c r="Q25" i="42"/>
  <c r="Q26" i="42"/>
  <c r="Q28" i="42"/>
  <c r="Q29" i="42"/>
  <c r="E30" i="42"/>
  <c r="Q30" i="42"/>
  <c r="Q31" i="42"/>
  <c r="Q32" i="42"/>
  <c r="N33" i="42"/>
  <c r="O33" i="42"/>
  <c r="P10" i="42"/>
  <c r="P11" i="42"/>
  <c r="P12" i="42"/>
  <c r="P13" i="42"/>
  <c r="P14" i="42"/>
  <c r="P16" i="42"/>
  <c r="P17" i="42"/>
  <c r="P18" i="42"/>
  <c r="P19" i="42"/>
  <c r="P20" i="42"/>
  <c r="P22" i="42"/>
  <c r="P23" i="42"/>
  <c r="P24" i="42"/>
  <c r="P25" i="42"/>
  <c r="P26" i="42"/>
  <c r="P28" i="42"/>
  <c r="P29" i="42"/>
  <c r="P30" i="42"/>
  <c r="P31" i="42"/>
  <c r="P32" i="42"/>
  <c r="E10" i="49"/>
  <c r="H10" i="49"/>
  <c r="Q10" i="49"/>
  <c r="Q11" i="49"/>
  <c r="Q12" i="49"/>
  <c r="Q13" i="49"/>
  <c r="Q14" i="49"/>
  <c r="H16" i="49"/>
  <c r="Q16" i="49"/>
  <c r="Q17" i="49"/>
  <c r="Q18" i="49"/>
  <c r="Q19" i="49"/>
  <c r="H20" i="49"/>
  <c r="Q20" i="49"/>
  <c r="Q22" i="49"/>
  <c r="Q23" i="49"/>
  <c r="Q24" i="49"/>
  <c r="Q25" i="49"/>
  <c r="Q26" i="49"/>
  <c r="Q28" i="49"/>
  <c r="Q29" i="49"/>
  <c r="Q30" i="49"/>
  <c r="Q31" i="49"/>
  <c r="H32" i="49"/>
  <c r="Q32" i="49"/>
  <c r="N33" i="49"/>
  <c r="O33" i="49"/>
  <c r="P10" i="49"/>
  <c r="P11" i="49"/>
  <c r="P12" i="49"/>
  <c r="P13" i="49"/>
  <c r="P14" i="49"/>
  <c r="P16" i="49"/>
  <c r="P17" i="49"/>
  <c r="P18" i="49"/>
  <c r="P19" i="49"/>
  <c r="P20" i="49"/>
  <c r="P22" i="49"/>
  <c r="P23" i="49"/>
  <c r="P24" i="49"/>
  <c r="P25" i="49"/>
  <c r="P26" i="49"/>
  <c r="P28" i="49"/>
  <c r="P29" i="49"/>
  <c r="P30" i="49"/>
  <c r="P31" i="49"/>
  <c r="P32" i="49"/>
  <c r="Q10" i="48"/>
  <c r="Q11" i="48"/>
  <c r="Q12" i="48"/>
  <c r="Q13" i="48"/>
  <c r="Q14" i="48"/>
  <c r="Q16" i="48"/>
  <c r="Q17" i="48"/>
  <c r="Q18" i="48"/>
  <c r="Q19" i="48"/>
  <c r="Q20" i="48"/>
  <c r="Q22" i="48"/>
  <c r="Q23" i="48"/>
  <c r="Q24" i="48"/>
  <c r="Q25" i="48"/>
  <c r="Q26" i="48"/>
  <c r="Q28" i="48"/>
  <c r="Q29" i="48"/>
  <c r="Q30" i="48"/>
  <c r="Q31" i="48"/>
  <c r="Q32" i="48"/>
  <c r="N33" i="48"/>
  <c r="O33" i="48"/>
  <c r="P10" i="48"/>
  <c r="P11" i="48"/>
  <c r="P12" i="48"/>
  <c r="P13" i="48"/>
  <c r="P14" i="48"/>
  <c r="P16" i="48"/>
  <c r="P17" i="48"/>
  <c r="P18" i="48"/>
  <c r="P19" i="48"/>
  <c r="P20" i="48"/>
  <c r="P22" i="48"/>
  <c r="P23" i="48"/>
  <c r="P24" i="48"/>
  <c r="P25" i="48"/>
  <c r="P26" i="48"/>
  <c r="P28" i="48"/>
  <c r="P29" i="48"/>
  <c r="P30" i="48"/>
  <c r="P31" i="48"/>
  <c r="P32" i="48"/>
  <c r="Q10" i="47"/>
  <c r="Q11" i="47"/>
  <c r="Q12" i="47"/>
  <c r="Q13" i="47"/>
  <c r="Q14" i="47"/>
  <c r="Q16" i="47"/>
  <c r="Q17" i="47"/>
  <c r="Q18" i="47"/>
  <c r="Q19" i="47"/>
  <c r="Q20" i="47"/>
  <c r="E22" i="47"/>
  <c r="Q22" i="47"/>
  <c r="Q23" i="47"/>
  <c r="Q24" i="47"/>
  <c r="Q25" i="47"/>
  <c r="Q26" i="47"/>
  <c r="Q28" i="47"/>
  <c r="Q29" i="47"/>
  <c r="E30" i="47"/>
  <c r="Q30" i="47"/>
  <c r="Q31" i="47"/>
  <c r="Q32" i="47"/>
  <c r="N33" i="47"/>
  <c r="O33" i="47"/>
  <c r="P10" i="47"/>
  <c r="P11" i="47"/>
  <c r="P12" i="47"/>
  <c r="P13" i="47"/>
  <c r="P14" i="47"/>
  <c r="P16" i="47"/>
  <c r="P17" i="47"/>
  <c r="P18" i="47"/>
  <c r="P19" i="47"/>
  <c r="P20" i="47"/>
  <c r="P22" i="47"/>
  <c r="P23" i="47"/>
  <c r="P24" i="47"/>
  <c r="P25" i="47"/>
  <c r="P26" i="47"/>
  <c r="P28" i="47"/>
  <c r="P29" i="47"/>
  <c r="P30" i="47"/>
  <c r="P31" i="47"/>
  <c r="P32" i="47"/>
  <c r="Q10" i="46"/>
  <c r="Q11" i="46"/>
  <c r="Q12" i="46"/>
  <c r="Q13" i="46"/>
  <c r="Q14" i="46"/>
  <c r="Q16" i="46"/>
  <c r="Q17" i="46"/>
  <c r="Q18" i="46"/>
  <c r="Q19" i="46"/>
  <c r="Q20" i="46"/>
  <c r="Q22" i="46"/>
  <c r="Q23" i="46"/>
  <c r="Q24" i="46"/>
  <c r="Q25" i="46"/>
  <c r="Q26" i="46"/>
  <c r="Q29" i="46"/>
  <c r="Q30" i="46"/>
  <c r="Q31" i="46"/>
  <c r="Q32" i="46"/>
  <c r="N33" i="46"/>
  <c r="O33" i="46"/>
  <c r="P10" i="46"/>
  <c r="P11" i="46"/>
  <c r="P12" i="46"/>
  <c r="P13" i="46"/>
  <c r="P14" i="46"/>
  <c r="P16" i="46"/>
  <c r="P17" i="46"/>
  <c r="P18" i="46"/>
  <c r="P19" i="46"/>
  <c r="P20" i="46"/>
  <c r="P22" i="46"/>
  <c r="P23" i="46"/>
  <c r="P24" i="46"/>
  <c r="P25" i="46"/>
  <c r="P26" i="46"/>
  <c r="P28" i="46"/>
  <c r="P29" i="46"/>
  <c r="P30" i="46"/>
  <c r="P31" i="46"/>
  <c r="P32" i="46"/>
  <c r="Q28" i="46"/>
  <c r="E10" i="45"/>
  <c r="H10" i="45"/>
  <c r="Q10" i="45"/>
  <c r="Q11" i="45"/>
  <c r="Q12" i="45"/>
  <c r="Q13" i="45"/>
  <c r="Q14" i="45"/>
  <c r="Q16" i="45"/>
  <c r="Q17" i="45"/>
  <c r="Q18" i="45"/>
  <c r="Q19" i="45"/>
  <c r="Q20" i="45"/>
  <c r="Q22" i="45"/>
  <c r="Q23" i="45"/>
  <c r="Q24" i="45"/>
  <c r="E25" i="45"/>
  <c r="Q25" i="45"/>
  <c r="Q26" i="45"/>
  <c r="Q28" i="45"/>
  <c r="Q29" i="45"/>
  <c r="E30" i="45"/>
  <c r="Q30" i="45"/>
  <c r="Q31" i="45"/>
  <c r="E32" i="45"/>
  <c r="Q32" i="45"/>
  <c r="N33" i="45"/>
  <c r="O33" i="45"/>
  <c r="P10" i="45"/>
  <c r="P11" i="45"/>
  <c r="P12" i="45"/>
  <c r="P13" i="45"/>
  <c r="P14" i="45"/>
  <c r="P16" i="45"/>
  <c r="P17" i="45"/>
  <c r="P18" i="45"/>
  <c r="P19" i="45"/>
  <c r="P20" i="45"/>
  <c r="P22" i="45"/>
  <c r="P23" i="45"/>
  <c r="P24" i="45"/>
  <c r="P25" i="45"/>
  <c r="P26" i="45"/>
  <c r="P28" i="45"/>
  <c r="P29" i="45"/>
  <c r="P30" i="45"/>
  <c r="P31" i="45"/>
  <c r="P32" i="45"/>
  <c r="Q10" i="44"/>
  <c r="Q11" i="44"/>
  <c r="Q12" i="44"/>
  <c r="Q13" i="44"/>
  <c r="Q14" i="44"/>
  <c r="Q16" i="44"/>
  <c r="Q17" i="44"/>
  <c r="Q18" i="44"/>
  <c r="Q19" i="44"/>
  <c r="E20" i="44"/>
  <c r="Q20" i="44"/>
  <c r="Q22" i="44"/>
  <c r="H23" i="44"/>
  <c r="Q23" i="44"/>
  <c r="Q24" i="44"/>
  <c r="Q25" i="44"/>
  <c r="Q26" i="44"/>
  <c r="Q28" i="44"/>
  <c r="H29" i="44"/>
  <c r="Q29" i="44"/>
  <c r="Q30" i="44"/>
  <c r="Q31" i="44"/>
  <c r="E32" i="44"/>
  <c r="H32" i="44"/>
  <c r="Q32" i="44"/>
  <c r="N33" i="44"/>
  <c r="O33" i="44"/>
  <c r="P10" i="44"/>
  <c r="P11" i="44"/>
  <c r="P12" i="44"/>
  <c r="P13" i="44"/>
  <c r="P14" i="44"/>
  <c r="P16" i="44"/>
  <c r="P17" i="44"/>
  <c r="P18" i="44"/>
  <c r="P19" i="44"/>
  <c r="P20" i="44"/>
  <c r="P22" i="44"/>
  <c r="P23" i="44"/>
  <c r="P24" i="44"/>
  <c r="P25" i="44"/>
  <c r="P26" i="44"/>
  <c r="P28" i="44"/>
  <c r="P29" i="44"/>
  <c r="P30" i="44"/>
  <c r="P31" i="44"/>
  <c r="P32" i="44"/>
  <c r="E32" i="43"/>
  <c r="E14" i="43"/>
  <c r="H32" i="43"/>
  <c r="Q32" i="43"/>
  <c r="Q31" i="43"/>
  <c r="H30" i="43"/>
  <c r="Q30" i="43"/>
  <c r="H29" i="43"/>
  <c r="Q29" i="43"/>
  <c r="Q28" i="43"/>
  <c r="Q20" i="43"/>
  <c r="Q19" i="43"/>
  <c r="Q18" i="43"/>
  <c r="Q17" i="43"/>
  <c r="Q16" i="43"/>
  <c r="H26" i="43"/>
  <c r="Q26" i="43"/>
  <c r="H25" i="43"/>
  <c r="Q25" i="43"/>
  <c r="H24" i="43"/>
  <c r="Q24" i="43"/>
  <c r="Q23" i="43"/>
  <c r="Q22" i="43"/>
  <c r="Q14" i="43"/>
  <c r="Q13" i="43"/>
  <c r="Q12" i="43"/>
  <c r="Q11" i="43"/>
  <c r="Q10" i="43"/>
  <c r="N33" i="43"/>
  <c r="O33" i="43"/>
  <c r="P32" i="43"/>
  <c r="P31" i="43"/>
  <c r="P30" i="43"/>
  <c r="P29" i="43"/>
  <c r="P28" i="43"/>
  <c r="P26" i="43"/>
  <c r="P25" i="43"/>
  <c r="P24" i="43"/>
  <c r="P23" i="43"/>
  <c r="P22" i="43"/>
  <c r="P20" i="43"/>
  <c r="P19" i="43"/>
  <c r="P18" i="43"/>
  <c r="P17" i="43"/>
  <c r="P16" i="43"/>
  <c r="P14" i="43"/>
  <c r="P13" i="43"/>
  <c r="P12" i="43"/>
  <c r="P11" i="43"/>
  <c r="P10" i="43"/>
  <c r="L3" i="43"/>
  <c r="E10" i="13"/>
  <c r="H10" i="13"/>
  <c r="E19" i="41"/>
  <c r="H16" i="40"/>
  <c r="I16" i="40" s="1"/>
  <c r="E29" i="37"/>
  <c r="E26" i="37"/>
  <c r="E24" i="37"/>
  <c r="H23" i="37"/>
  <c r="E22" i="37"/>
  <c r="H20" i="37"/>
  <c r="I20" i="37" s="1"/>
  <c r="K20" i="37" s="1"/>
  <c r="R20" i="37" s="1"/>
  <c r="S20" i="37" s="1"/>
  <c r="E19" i="37"/>
  <c r="H18" i="37"/>
  <c r="E31" i="44"/>
  <c r="E13" i="39"/>
  <c r="E26" i="38"/>
  <c r="E22" i="38"/>
  <c r="E17" i="38"/>
  <c r="H14" i="40"/>
  <c r="E13" i="40"/>
  <c r="H24" i="40"/>
  <c r="H30" i="38"/>
  <c r="H26" i="38"/>
  <c r="H20" i="38"/>
  <c r="H17" i="38"/>
  <c r="H12" i="38"/>
  <c r="I16" i="37"/>
  <c r="K16" i="37" s="1"/>
  <c r="R16" i="37" s="1"/>
  <c r="J17" i="37"/>
  <c r="N34" i="42"/>
  <c r="H16" i="39"/>
  <c r="H17" i="39"/>
  <c r="H10" i="39"/>
  <c r="H17" i="43"/>
  <c r="H31" i="47"/>
  <c r="E19" i="49"/>
  <c r="E10" i="40"/>
  <c r="J10" i="40"/>
  <c r="E12" i="45"/>
  <c r="E32" i="46"/>
  <c r="N34" i="39"/>
  <c r="E28" i="46"/>
  <c r="I28" i="46"/>
  <c r="E32" i="39"/>
  <c r="J32" i="39"/>
  <c r="H10" i="40"/>
  <c r="H28" i="42"/>
  <c r="J28" i="42"/>
  <c r="H12" i="44"/>
  <c r="H18" i="47"/>
  <c r="O34" i="48"/>
  <c r="E12" i="48"/>
  <c r="H30" i="49"/>
  <c r="E28" i="49"/>
  <c r="H18" i="49"/>
  <c r="H11" i="49"/>
  <c r="E10" i="42"/>
  <c r="E18" i="40"/>
  <c r="E20" i="43"/>
  <c r="N34" i="46"/>
  <c r="N34" i="47"/>
  <c r="H20" i="47"/>
  <c r="H11" i="47"/>
  <c r="E26" i="45"/>
  <c r="H10" i="43"/>
  <c r="H13" i="45"/>
  <c r="H13" i="47"/>
  <c r="E11" i="42"/>
  <c r="E23" i="39"/>
  <c r="E12" i="41"/>
  <c r="E22" i="42"/>
  <c r="J22" i="42"/>
  <c r="J10" i="49"/>
  <c r="E30" i="40"/>
  <c r="J30" i="40"/>
  <c r="H17" i="45"/>
  <c r="H18" i="45"/>
  <c r="H29" i="46"/>
  <c r="H20" i="46"/>
  <c r="H22" i="48"/>
  <c r="H11" i="45"/>
  <c r="I32" i="39"/>
  <c r="H31" i="43"/>
  <c r="H28" i="43"/>
  <c r="I28" i="43"/>
  <c r="H10" i="46"/>
  <c r="H11" i="48"/>
  <c r="H22" i="39"/>
  <c r="E14" i="44"/>
  <c r="E30" i="46"/>
  <c r="E12" i="42"/>
  <c r="E18" i="39"/>
  <c r="E26" i="48"/>
  <c r="E24" i="42"/>
  <c r="E25" i="44"/>
  <c r="E31" i="46"/>
  <c r="E23" i="46"/>
  <c r="E10" i="44"/>
  <c r="E16" i="40"/>
  <c r="E14" i="42"/>
  <c r="E25" i="39"/>
  <c r="E29" i="39"/>
  <c r="E12" i="44"/>
  <c r="E11" i="40"/>
  <c r="I11" i="40"/>
  <c r="E18" i="42"/>
  <c r="J19" i="37"/>
  <c r="E26" i="41"/>
  <c r="E11" i="41"/>
  <c r="Q15" i="13"/>
  <c r="Q18" i="13"/>
  <c r="I26" i="39"/>
  <c r="H14" i="45"/>
  <c r="H32" i="48"/>
  <c r="H13" i="48"/>
  <c r="H29" i="49"/>
  <c r="I18" i="41"/>
  <c r="H26" i="45"/>
  <c r="H24" i="45"/>
  <c r="J24" i="45"/>
  <c r="H23" i="47"/>
  <c r="H32" i="42"/>
  <c r="E31" i="48"/>
  <c r="E25" i="40"/>
  <c r="J25" i="40"/>
  <c r="E24" i="38"/>
  <c r="E28" i="39"/>
  <c r="I28" i="39"/>
  <c r="E19" i="48"/>
  <c r="E10" i="48"/>
  <c r="E31" i="43"/>
  <c r="J19" i="40"/>
  <c r="E17" i="40"/>
  <c r="J17" i="40"/>
  <c r="E10" i="43"/>
  <c r="H28" i="44"/>
  <c r="H30" i="45"/>
  <c r="J30" i="45"/>
  <c r="H28" i="45"/>
  <c r="I28" i="45"/>
  <c r="H28" i="47"/>
  <c r="H14" i="47"/>
  <c r="I23" i="40"/>
  <c r="H13" i="40"/>
  <c r="I13" i="40"/>
  <c r="I32" i="43"/>
  <c r="H16" i="47"/>
  <c r="H20" i="39"/>
  <c r="H29" i="45"/>
  <c r="H32" i="47"/>
  <c r="H29" i="42"/>
  <c r="H30" i="44"/>
  <c r="H25" i="49"/>
  <c r="I32" i="40"/>
  <c r="J32" i="40"/>
  <c r="E23" i="48"/>
  <c r="I12" i="38"/>
  <c r="E31" i="47"/>
  <c r="J32" i="43"/>
  <c r="E29" i="44"/>
  <c r="I29" i="44"/>
  <c r="E13" i="41"/>
  <c r="E16" i="43"/>
  <c r="E16" i="45"/>
  <c r="E11" i="46"/>
  <c r="E23" i="49"/>
  <c r="E14" i="49"/>
  <c r="H12" i="49"/>
  <c r="H30" i="39"/>
  <c r="E16" i="39"/>
  <c r="H32" i="38"/>
  <c r="J32" i="38"/>
  <c r="E25" i="38"/>
  <c r="H11" i="41"/>
  <c r="H12" i="41"/>
  <c r="E30" i="44"/>
  <c r="E13" i="43"/>
  <c r="E12" i="47"/>
  <c r="E18" i="38"/>
  <c r="H14" i="43"/>
  <c r="J14" i="43"/>
  <c r="E28" i="44"/>
  <c r="H25" i="44"/>
  <c r="E24" i="44"/>
  <c r="H16" i="44"/>
  <c r="H20" i="45"/>
  <c r="O34" i="47"/>
  <c r="H25" i="48"/>
  <c r="E14" i="48"/>
  <c r="E12" i="49"/>
  <c r="I10" i="49"/>
  <c r="E31" i="42"/>
  <c r="H20" i="42"/>
  <c r="H17" i="42"/>
  <c r="I19" i="40"/>
  <c r="E16" i="46"/>
  <c r="H24" i="47"/>
  <c r="E22" i="48"/>
  <c r="E30" i="39"/>
  <c r="H29" i="39"/>
  <c r="E10" i="38"/>
  <c r="J10" i="38" s="1"/>
  <c r="J33" i="38" s="1"/>
  <c r="H26" i="41"/>
  <c r="J26" i="41" s="1"/>
  <c r="E20" i="39"/>
  <c r="E11" i="39"/>
  <c r="E11" i="43"/>
  <c r="E16" i="44"/>
  <c r="H10" i="48"/>
  <c r="H12" i="43"/>
  <c r="E19" i="44"/>
  <c r="H32" i="45"/>
  <c r="I32" i="45"/>
  <c r="H16" i="45"/>
  <c r="H32" i="46"/>
  <c r="E28" i="47"/>
  <c r="I28" i="47"/>
  <c r="E14" i="47"/>
  <c r="H12" i="47"/>
  <c r="H30" i="48"/>
  <c r="H14" i="49"/>
  <c r="J20" i="40"/>
  <c r="H18" i="40"/>
  <c r="H19" i="39"/>
  <c r="E28" i="38"/>
  <c r="E25" i="43"/>
  <c r="I25" i="43"/>
  <c r="O34" i="40"/>
  <c r="I26" i="40"/>
  <c r="J12" i="37"/>
  <c r="J18" i="41"/>
  <c r="E10" i="41"/>
  <c r="J10" i="41"/>
  <c r="J28" i="40"/>
  <c r="I29" i="40"/>
  <c r="I28" i="40"/>
  <c r="J29" i="40"/>
  <c r="J26" i="40"/>
  <c r="O34" i="38"/>
  <c r="I17" i="38"/>
  <c r="I12" i="37"/>
  <c r="I14" i="37"/>
  <c r="I13" i="37"/>
  <c r="J14" i="37"/>
  <c r="J11" i="37"/>
  <c r="I10" i="37"/>
  <c r="I20" i="40"/>
  <c r="H12" i="48"/>
  <c r="H28" i="49"/>
  <c r="H23" i="49"/>
  <c r="H13" i="49"/>
  <c r="I16" i="41"/>
  <c r="H14" i="38"/>
  <c r="I14" i="38"/>
  <c r="J26" i="38"/>
  <c r="J30" i="43"/>
  <c r="H11" i="43"/>
  <c r="H13" i="43"/>
  <c r="H30" i="47"/>
  <c r="I30" i="47"/>
  <c r="E22" i="43"/>
  <c r="J26" i="43"/>
  <c r="E19" i="43"/>
  <c r="E12" i="43"/>
  <c r="E24" i="48"/>
  <c r="E14" i="40"/>
  <c r="I14" i="40"/>
  <c r="J23" i="40"/>
  <c r="E18" i="44"/>
  <c r="E28" i="48"/>
  <c r="E16" i="48"/>
  <c r="E31" i="49"/>
  <c r="E17" i="49"/>
  <c r="E26" i="44"/>
  <c r="E22" i="44"/>
  <c r="E17" i="44"/>
  <c r="E19" i="45"/>
  <c r="O34" i="39"/>
  <c r="I10" i="13"/>
  <c r="E17" i="45"/>
  <c r="H19" i="46"/>
  <c r="H25" i="47"/>
  <c r="E13" i="48"/>
  <c r="E29" i="49"/>
  <c r="E29" i="42"/>
  <c r="E26" i="42"/>
  <c r="E19" i="42"/>
  <c r="E17" i="42"/>
  <c r="E31" i="41"/>
  <c r="E22" i="41"/>
  <c r="I17" i="41"/>
  <c r="K17" i="41" s="1"/>
  <c r="E18" i="43"/>
  <c r="O34" i="44"/>
  <c r="N34" i="44"/>
  <c r="O34" i="45"/>
  <c r="H25" i="45"/>
  <c r="I25" i="45"/>
  <c r="H23" i="45"/>
  <c r="E20" i="46"/>
  <c r="H31" i="48"/>
  <c r="E29" i="48"/>
  <c r="E17" i="48"/>
  <c r="O34" i="49"/>
  <c r="I26" i="38"/>
  <c r="J17" i="38"/>
  <c r="I26" i="43"/>
  <c r="H13" i="44"/>
  <c r="N34" i="45"/>
  <c r="I10" i="45"/>
  <c r="J10" i="45"/>
  <c r="O34" i="46"/>
  <c r="E11" i="47"/>
  <c r="J11" i="47"/>
  <c r="E32" i="48"/>
  <c r="H18" i="44"/>
  <c r="H14" i="44"/>
  <c r="H23" i="38"/>
  <c r="J23" i="38"/>
  <c r="E20" i="38"/>
  <c r="H18" i="38"/>
  <c r="H22" i="43"/>
  <c r="E24" i="43"/>
  <c r="I24" i="43"/>
  <c r="E17" i="43"/>
  <c r="H19" i="43"/>
  <c r="H10" i="44"/>
  <c r="H19" i="45"/>
  <c r="E14" i="45"/>
  <c r="H12" i="45"/>
  <c r="E11" i="45"/>
  <c r="H31" i="46"/>
  <c r="E29" i="46"/>
  <c r="E25" i="46"/>
  <c r="H23" i="46"/>
  <c r="H11" i="46"/>
  <c r="E24" i="47"/>
  <c r="H22" i="47"/>
  <c r="I22" i="47"/>
  <c r="E20" i="47"/>
  <c r="E25" i="48"/>
  <c r="H23" i="48"/>
  <c r="H20" i="48"/>
  <c r="E18" i="48"/>
  <c r="H16" i="48"/>
  <c r="H31" i="49"/>
  <c r="E25" i="49"/>
  <c r="E32" i="42"/>
  <c r="H30" i="42"/>
  <c r="H25" i="42"/>
  <c r="E23" i="42"/>
  <c r="E20" i="42"/>
  <c r="H18" i="42"/>
  <c r="H16" i="42"/>
  <c r="E13" i="42"/>
  <c r="H11" i="42"/>
  <c r="E32" i="41"/>
  <c r="H30" i="41"/>
  <c r="E28" i="41"/>
  <c r="H25" i="41"/>
  <c r="J16" i="41"/>
  <c r="E31" i="40"/>
  <c r="J31" i="40"/>
  <c r="K31" i="40" s="1"/>
  <c r="R31" i="40" s="1"/>
  <c r="E12" i="40"/>
  <c r="H25" i="39"/>
  <c r="H23" i="39"/>
  <c r="H18" i="39"/>
  <c r="H13" i="39"/>
  <c r="I13" i="39"/>
  <c r="J13" i="37"/>
  <c r="H11" i="39"/>
  <c r="I11" i="37"/>
  <c r="J10" i="37"/>
  <c r="N34" i="48"/>
  <c r="N34" i="49"/>
  <c r="O34" i="42"/>
  <c r="E23" i="43"/>
  <c r="J17" i="41"/>
  <c r="J26" i="39"/>
  <c r="J23" i="37"/>
  <c r="I30" i="43"/>
  <c r="I29" i="43"/>
  <c r="I23" i="37"/>
  <c r="H22" i="44"/>
  <c r="H25" i="46"/>
  <c r="E17" i="46"/>
  <c r="H14" i="46"/>
  <c r="E12" i="46"/>
  <c r="E25" i="47"/>
  <c r="H26" i="42"/>
  <c r="E23" i="41"/>
  <c r="H20" i="41"/>
  <c r="E20" i="41"/>
  <c r="E31" i="39"/>
  <c r="E10" i="39"/>
  <c r="E25" i="37"/>
  <c r="I25" i="37"/>
  <c r="H24" i="37"/>
  <c r="J24" i="37"/>
  <c r="H31" i="37"/>
  <c r="H32" i="37"/>
  <c r="E23" i="45"/>
  <c r="E18" i="47"/>
  <c r="E16" i="47"/>
  <c r="H14" i="42"/>
  <c r="H12" i="42"/>
  <c r="H24" i="44"/>
  <c r="H19" i="44"/>
  <c r="E11" i="44"/>
  <c r="E26" i="46"/>
  <c r="H18" i="46"/>
  <c r="E18" i="46"/>
  <c r="H16" i="46"/>
  <c r="H13" i="46"/>
  <c r="E13" i="46"/>
  <c r="E32" i="47"/>
  <c r="J32" i="47"/>
  <c r="E13" i="47"/>
  <c r="J13" i="47"/>
  <c r="H19" i="48"/>
  <c r="H17" i="48"/>
  <c r="H24" i="42"/>
  <c r="H24" i="41"/>
  <c r="I24" i="41"/>
  <c r="H22" i="41"/>
  <c r="H31" i="39"/>
  <c r="E24" i="39"/>
  <c r="I24" i="39"/>
  <c r="H26" i="44"/>
  <c r="E23" i="44"/>
  <c r="J23" i="44"/>
  <c r="E31" i="45"/>
  <c r="J22" i="45"/>
  <c r="E20" i="45"/>
  <c r="H24" i="46"/>
  <c r="E24" i="46"/>
  <c r="H22" i="46"/>
  <c r="E22" i="46"/>
  <c r="E23" i="47"/>
  <c r="I23" i="47"/>
  <c r="H29" i="48"/>
  <c r="H26" i="48"/>
  <c r="E32" i="49"/>
  <c r="J32" i="49"/>
  <c r="E26" i="49"/>
  <c r="H24" i="49"/>
  <c r="E24" i="49"/>
  <c r="H22" i="49"/>
  <c r="E22" i="49"/>
  <c r="H19" i="49"/>
  <c r="E18" i="49"/>
  <c r="E16" i="49"/>
  <c r="J16" i="49"/>
  <c r="E13" i="49"/>
  <c r="H31" i="41"/>
  <c r="E30" i="38"/>
  <c r="I30" i="38"/>
  <c r="H28" i="38"/>
  <c r="H24" i="38"/>
  <c r="H22" i="38"/>
  <c r="H19" i="38"/>
  <c r="I19" i="38"/>
  <c r="H29" i="37"/>
  <c r="J29" i="37"/>
  <c r="H30" i="37"/>
  <c r="J30" i="37"/>
  <c r="E22" i="40"/>
  <c r="I22" i="40" s="1"/>
  <c r="K22" i="40" s="1"/>
  <c r="N34" i="43"/>
  <c r="O34" i="43"/>
  <c r="I32" i="44"/>
  <c r="J32" i="44"/>
  <c r="J20" i="37"/>
  <c r="I29" i="45"/>
  <c r="J29" i="45"/>
  <c r="I24" i="45"/>
  <c r="H20" i="44"/>
  <c r="H17" i="44"/>
  <c r="E13" i="44"/>
  <c r="H11" i="44"/>
  <c r="H31" i="45"/>
  <c r="E13" i="45"/>
  <c r="H30" i="46"/>
  <c r="H26" i="46"/>
  <c r="E19" i="46"/>
  <c r="H17" i="46"/>
  <c r="E14" i="46"/>
  <c r="H12" i="46"/>
  <c r="E10" i="46"/>
  <c r="H29" i="47"/>
  <c r="E29" i="47"/>
  <c r="H26" i="47"/>
  <c r="E26" i="47"/>
  <c r="H19" i="47"/>
  <c r="E19" i="47"/>
  <c r="H17" i="47"/>
  <c r="E17" i="47"/>
  <c r="H10" i="47"/>
  <c r="E10" i="47"/>
  <c r="E30" i="48"/>
  <c r="H28" i="48"/>
  <c r="H24" i="48"/>
  <c r="E20" i="48"/>
  <c r="H18" i="48"/>
  <c r="H14" i="48"/>
  <c r="E11" i="48"/>
  <c r="E30" i="49"/>
  <c r="H26" i="49"/>
  <c r="E20" i="49"/>
  <c r="J20" i="49"/>
  <c r="H17" i="49"/>
  <c r="E11" i="49"/>
  <c r="H31" i="42"/>
  <c r="E25" i="42"/>
  <c r="H23" i="42"/>
  <c r="H19" i="42"/>
  <c r="E16" i="42"/>
  <c r="H13" i="42"/>
  <c r="H10" i="42"/>
  <c r="H32" i="41"/>
  <c r="E25" i="41"/>
  <c r="H23" i="41"/>
  <c r="H19" i="41"/>
  <c r="I19" i="41"/>
  <c r="H13" i="41"/>
  <c r="E24" i="40"/>
  <c r="H12" i="40"/>
  <c r="E22" i="39"/>
  <c r="E19" i="39"/>
  <c r="E17" i="39"/>
  <c r="J17" i="39"/>
  <c r="E14" i="39"/>
  <c r="E12" i="39"/>
  <c r="I12" i="39"/>
  <c r="H31" i="38"/>
  <c r="H29" i="38"/>
  <c r="H25" i="38"/>
  <c r="E16" i="38"/>
  <c r="E13" i="38"/>
  <c r="C21" i="13"/>
  <c r="I19" i="37"/>
  <c r="K19" i="37" s="1"/>
  <c r="E31" i="37"/>
  <c r="H11" i="38"/>
  <c r="I11" i="38"/>
  <c r="H23" i="43"/>
  <c r="H16" i="43"/>
  <c r="H18" i="43"/>
  <c r="H20" i="43"/>
  <c r="H31" i="44"/>
  <c r="E18" i="45"/>
  <c r="H26" i="37"/>
  <c r="H22" i="37"/>
  <c r="H28" i="37"/>
  <c r="I28" i="37"/>
  <c r="N34" i="40"/>
  <c r="J12" i="38"/>
  <c r="J29" i="43"/>
  <c r="J28" i="45"/>
  <c r="K28" i="45"/>
  <c r="R28" i="45"/>
  <c r="I14" i="45"/>
  <c r="I25" i="46"/>
  <c r="I31" i="47"/>
  <c r="I18" i="47"/>
  <c r="I28" i="49"/>
  <c r="I28" i="42"/>
  <c r="I14" i="42"/>
  <c r="I25" i="40"/>
  <c r="K25" i="40"/>
  <c r="R25" i="40"/>
  <c r="J16" i="39"/>
  <c r="I20" i="46"/>
  <c r="I10" i="39"/>
  <c r="I22" i="39"/>
  <c r="I17" i="40"/>
  <c r="J28" i="39"/>
  <c r="I18" i="39"/>
  <c r="I30" i="40"/>
  <c r="K30" i="40"/>
  <c r="R30" i="40"/>
  <c r="S30" i="40"/>
  <c r="V30" i="40"/>
  <c r="I10" i="40"/>
  <c r="J11" i="40"/>
  <c r="K11" i="40"/>
  <c r="R11" i="40"/>
  <c r="I22" i="42"/>
  <c r="K22" i="42"/>
  <c r="R22" i="42"/>
  <c r="S22" i="42"/>
  <c r="U22" i="42"/>
  <c r="J20" i="47"/>
  <c r="J28" i="46"/>
  <c r="J32" i="45"/>
  <c r="K32" i="45"/>
  <c r="R32" i="45"/>
  <c r="S32" i="45"/>
  <c r="J25" i="37"/>
  <c r="K25" i="37"/>
  <c r="I14" i="43"/>
  <c r="K14" i="43"/>
  <c r="R14" i="43"/>
  <c r="S14" i="43"/>
  <c r="I20" i="43"/>
  <c r="J28" i="43"/>
  <c r="K28" i="43"/>
  <c r="R28" i="43"/>
  <c r="S28" i="43"/>
  <c r="I10" i="43"/>
  <c r="J17" i="43"/>
  <c r="I31" i="43"/>
  <c r="J12" i="44"/>
  <c r="J29" i="46"/>
  <c r="J11" i="46"/>
  <c r="J32" i="46"/>
  <c r="J11" i="49"/>
  <c r="I12" i="45"/>
  <c r="J13" i="49"/>
  <c r="I13" i="41"/>
  <c r="I19" i="49"/>
  <c r="J12" i="42"/>
  <c r="I18" i="40"/>
  <c r="J25" i="43"/>
  <c r="K25" i="43"/>
  <c r="R25" i="43"/>
  <c r="S25" i="43"/>
  <c r="J16" i="43"/>
  <c r="J14" i="44"/>
  <c r="I26" i="45"/>
  <c r="I23" i="46"/>
  <c r="J31" i="47"/>
  <c r="K31" i="47"/>
  <c r="R31" i="47"/>
  <c r="S31" i="47"/>
  <c r="I20" i="47"/>
  <c r="K20" i="47"/>
  <c r="R20" i="47"/>
  <c r="S20" i="47"/>
  <c r="J32" i="48"/>
  <c r="J31" i="48"/>
  <c r="J24" i="48"/>
  <c r="J12" i="48"/>
  <c r="J30" i="49"/>
  <c r="I18" i="49"/>
  <c r="J12" i="41"/>
  <c r="I10" i="42"/>
  <c r="J18" i="47"/>
  <c r="J14" i="47"/>
  <c r="I30" i="44"/>
  <c r="I12" i="48"/>
  <c r="I10" i="44"/>
  <c r="J23" i="46"/>
  <c r="I22" i="48"/>
  <c r="I11" i="45"/>
  <c r="I14" i="44"/>
  <c r="I25" i="47"/>
  <c r="I17" i="39"/>
  <c r="K17" i="39"/>
  <c r="R17" i="39"/>
  <c r="S17" i="39"/>
  <c r="J19" i="48"/>
  <c r="J30" i="44"/>
  <c r="K10" i="49"/>
  <c r="R10" i="49"/>
  <c r="S10" i="49"/>
  <c r="W10" i="49"/>
  <c r="I25" i="44"/>
  <c r="J10" i="43"/>
  <c r="K26" i="39"/>
  <c r="R26" i="39"/>
  <c r="S26" i="39"/>
  <c r="J10" i="44"/>
  <c r="J22" i="48"/>
  <c r="I12" i="44"/>
  <c r="I16" i="39"/>
  <c r="K16" i="39"/>
  <c r="R16" i="39"/>
  <c r="S16" i="39"/>
  <c r="J24" i="43"/>
  <c r="K24" i="43"/>
  <c r="R24" i="43"/>
  <c r="S24" i="43"/>
  <c r="I30" i="46"/>
  <c r="J20" i="46"/>
  <c r="J16" i="46"/>
  <c r="J31" i="43"/>
  <c r="I23" i="43"/>
  <c r="I24" i="42"/>
  <c r="I29" i="39"/>
  <c r="I32" i="46"/>
  <c r="K32" i="39"/>
  <c r="R32" i="39"/>
  <c r="I16" i="46"/>
  <c r="I31" i="46"/>
  <c r="J25" i="45"/>
  <c r="K25" i="45"/>
  <c r="R25" i="45"/>
  <c r="S25" i="45"/>
  <c r="J13" i="43"/>
  <c r="I14" i="47"/>
  <c r="J22" i="47"/>
  <c r="K22" i="47"/>
  <c r="R22" i="47"/>
  <c r="S22" i="47"/>
  <c r="J22" i="43"/>
  <c r="I26" i="48"/>
  <c r="K19" i="40"/>
  <c r="R19" i="40"/>
  <c r="S19" i="40"/>
  <c r="I17" i="43"/>
  <c r="K17" i="43"/>
  <c r="R17" i="43"/>
  <c r="S17" i="43"/>
  <c r="J31" i="46"/>
  <c r="J14" i="40"/>
  <c r="K14" i="40"/>
  <c r="R14" i="40"/>
  <c r="S14" i="40"/>
  <c r="W14" i="40"/>
  <c r="I19" i="48"/>
  <c r="K28" i="42"/>
  <c r="R28" i="42"/>
  <c r="S28" i="42"/>
  <c r="I32" i="48"/>
  <c r="I13" i="43"/>
  <c r="I28" i="38"/>
  <c r="K18" i="41"/>
  <c r="R18" i="41"/>
  <c r="S18" i="41"/>
  <c r="J18" i="49"/>
  <c r="I23" i="49"/>
  <c r="J28" i="47"/>
  <c r="K28" i="47"/>
  <c r="R28" i="47"/>
  <c r="S28" i="47"/>
  <c r="J12" i="43"/>
  <c r="J20" i="39"/>
  <c r="I11" i="49"/>
  <c r="J10" i="39"/>
  <c r="J16" i="44"/>
  <c r="I28" i="44"/>
  <c r="J11" i="41"/>
  <c r="I10" i="41"/>
  <c r="K10" i="41"/>
  <c r="R10" i="41"/>
  <c r="S10" i="41"/>
  <c r="W10" i="41"/>
  <c r="K11" i="37"/>
  <c r="R11" i="37"/>
  <c r="S11" i="37"/>
  <c r="I22" i="41"/>
  <c r="J19" i="41"/>
  <c r="K19" i="41"/>
  <c r="I12" i="41"/>
  <c r="J29" i="39"/>
  <c r="J13" i="39"/>
  <c r="K13" i="39"/>
  <c r="R13" i="39"/>
  <c r="S13" i="39"/>
  <c r="I24" i="38"/>
  <c r="J26" i="45"/>
  <c r="J10" i="42"/>
  <c r="I10" i="47"/>
  <c r="I29" i="47"/>
  <c r="I16" i="47"/>
  <c r="I16" i="44"/>
  <c r="K32" i="43"/>
  <c r="R32" i="43"/>
  <c r="S32" i="43"/>
  <c r="W32" i="43"/>
  <c r="J25" i="49"/>
  <c r="I20" i="39"/>
  <c r="J28" i="44"/>
  <c r="I24" i="48"/>
  <c r="J18" i="39"/>
  <c r="K18" i="39"/>
  <c r="R18" i="39"/>
  <c r="S18" i="39"/>
  <c r="I20" i="45"/>
  <c r="I30" i="45"/>
  <c r="K30" i="45"/>
  <c r="R30" i="45"/>
  <c r="S30" i="45"/>
  <c r="J11" i="39"/>
  <c r="J30" i="47"/>
  <c r="K30" i="47"/>
  <c r="R30" i="47"/>
  <c r="S30" i="47"/>
  <c r="I16" i="43"/>
  <c r="J11" i="38"/>
  <c r="K11" i="38"/>
  <c r="K28" i="46"/>
  <c r="R28" i="46"/>
  <c r="S28" i="46"/>
  <c r="U28" i="46"/>
  <c r="K17" i="40"/>
  <c r="R17" i="40"/>
  <c r="S17" i="40"/>
  <c r="I19" i="47"/>
  <c r="J12" i="47"/>
  <c r="J10" i="48"/>
  <c r="I18" i="46"/>
  <c r="I10" i="48"/>
  <c r="I12" i="47"/>
  <c r="J14" i="48"/>
  <c r="I11" i="47"/>
  <c r="K11" i="47"/>
  <c r="R11" i="47"/>
  <c r="S11" i="47"/>
  <c r="I11" i="39"/>
  <c r="J16" i="47"/>
  <c r="I26" i="42"/>
  <c r="J25" i="47"/>
  <c r="K28" i="40"/>
  <c r="R28" i="40"/>
  <c r="J16" i="45"/>
  <c r="J18" i="46"/>
  <c r="J24" i="42"/>
  <c r="K30" i="43"/>
  <c r="R30" i="43"/>
  <c r="S30" i="43"/>
  <c r="U30" i="43"/>
  <c r="I22" i="43"/>
  <c r="K12" i="37"/>
  <c r="R12" i="37"/>
  <c r="S12" i="37"/>
  <c r="W12" i="37"/>
  <c r="J19" i="42"/>
  <c r="K23" i="40"/>
  <c r="R23" i="40"/>
  <c r="S23" i="40"/>
  <c r="X23" i="40"/>
  <c r="J14" i="42"/>
  <c r="K14" i="42"/>
  <c r="K29" i="43"/>
  <c r="R29" i="43"/>
  <c r="S29" i="43"/>
  <c r="J25" i="44"/>
  <c r="J24" i="47"/>
  <c r="J13" i="40"/>
  <c r="K13" i="40"/>
  <c r="R13" i="40"/>
  <c r="S13" i="40"/>
  <c r="J18" i="40"/>
  <c r="J26" i="48"/>
  <c r="I13" i="46"/>
  <c r="J23" i="49"/>
  <c r="J28" i="49"/>
  <c r="J28" i="37"/>
  <c r="K28" i="37"/>
  <c r="K26" i="38"/>
  <c r="R26" i="38"/>
  <c r="S26" i="38"/>
  <c r="I12" i="43"/>
  <c r="I11" i="43"/>
  <c r="I30" i="39"/>
  <c r="I14" i="49"/>
  <c r="K10" i="40"/>
  <c r="R10" i="40"/>
  <c r="S10" i="40"/>
  <c r="X10" i="40"/>
  <c r="I32" i="47"/>
  <c r="K32" i="47"/>
  <c r="R32" i="47"/>
  <c r="S32" i="47"/>
  <c r="I32" i="49"/>
  <c r="K32" i="49"/>
  <c r="R32" i="49"/>
  <c r="S32" i="49"/>
  <c r="J11" i="43"/>
  <c r="J29" i="44"/>
  <c r="K29" i="44"/>
  <c r="I26" i="47"/>
  <c r="I25" i="49"/>
  <c r="K20" i="40"/>
  <c r="R20" i="40"/>
  <c r="S20" i="40"/>
  <c r="W20" i="40"/>
  <c r="I20" i="49"/>
  <c r="K20" i="49"/>
  <c r="R20" i="49"/>
  <c r="S20" i="49"/>
  <c r="I31" i="40"/>
  <c r="J31" i="42"/>
  <c r="I11" i="44"/>
  <c r="J20" i="45"/>
  <c r="J30" i="39"/>
  <c r="I18" i="44"/>
  <c r="K26" i="40"/>
  <c r="R26" i="40"/>
  <c r="S26" i="40"/>
  <c r="I30" i="49"/>
  <c r="K28" i="39"/>
  <c r="R28" i="39"/>
  <c r="J25" i="46"/>
  <c r="K25" i="46"/>
  <c r="K32" i="40"/>
  <c r="L6" i="47"/>
  <c r="L6" i="38"/>
  <c r="L6" i="48"/>
  <c r="L6" i="45"/>
  <c r="L6" i="49"/>
  <c r="L6" i="42"/>
  <c r="L6" i="43"/>
  <c r="L6" i="41"/>
  <c r="L6" i="44"/>
  <c r="L6" i="40"/>
  <c r="L6" i="39"/>
  <c r="L6" i="46"/>
  <c r="J14" i="49"/>
  <c r="J13" i="46"/>
  <c r="J31" i="41"/>
  <c r="I11" i="41"/>
  <c r="I12" i="49"/>
  <c r="J12" i="49"/>
  <c r="J18" i="44"/>
  <c r="J14" i="38"/>
  <c r="K14" i="38"/>
  <c r="R14" i="38"/>
  <c r="S14" i="38"/>
  <c r="I16" i="45"/>
  <c r="I31" i="42"/>
  <c r="J26" i="42"/>
  <c r="J11" i="45"/>
  <c r="J22" i="40"/>
  <c r="I24" i="37"/>
  <c r="K24" i="37"/>
  <c r="S24" i="37"/>
  <c r="X24" i="37" s="1"/>
  <c r="I32" i="38"/>
  <c r="K32" i="38"/>
  <c r="R32" i="38"/>
  <c r="S32" i="38"/>
  <c r="X32" i="38"/>
  <c r="J24" i="41"/>
  <c r="K24" i="41"/>
  <c r="J22" i="41"/>
  <c r="K26" i="43"/>
  <c r="R26" i="43"/>
  <c r="S26" i="43"/>
  <c r="X26" i="43"/>
  <c r="I31" i="41"/>
  <c r="I20" i="41"/>
  <c r="K29" i="40"/>
  <c r="R29" i="40"/>
  <c r="S29" i="40"/>
  <c r="X29" i="40"/>
  <c r="K10" i="37"/>
  <c r="R10" i="37"/>
  <c r="S10" i="37"/>
  <c r="W10" i="37"/>
  <c r="I18" i="43"/>
  <c r="K17" i="38"/>
  <c r="R17" i="38"/>
  <c r="S17" i="38"/>
  <c r="U17" i="38"/>
  <c r="J31" i="37"/>
  <c r="K14" i="37"/>
  <c r="R14" i="37"/>
  <c r="K13" i="37"/>
  <c r="R13" i="37"/>
  <c r="S13" i="37"/>
  <c r="V13" i="37"/>
  <c r="J23" i="43"/>
  <c r="I31" i="48"/>
  <c r="I19" i="43"/>
  <c r="I17" i="47"/>
  <c r="J17" i="48"/>
  <c r="I29" i="48"/>
  <c r="J19" i="43"/>
  <c r="I24" i="47"/>
  <c r="J23" i="47"/>
  <c r="K23" i="47"/>
  <c r="J29" i="48"/>
  <c r="I29" i="46"/>
  <c r="K23" i="37"/>
  <c r="R23" i="37"/>
  <c r="S23" i="37"/>
  <c r="U23" i="37" s="1"/>
  <c r="J12" i="39"/>
  <c r="K12" i="39"/>
  <c r="J22" i="39"/>
  <c r="J20" i="43"/>
  <c r="I31" i="37"/>
  <c r="I11" i="46"/>
  <c r="J24" i="38"/>
  <c r="I13" i="47"/>
  <c r="K13" i="47"/>
  <c r="R13" i="47"/>
  <c r="S13" i="47"/>
  <c r="I31" i="39"/>
  <c r="I17" i="48"/>
  <c r="J23" i="39"/>
  <c r="I23" i="39"/>
  <c r="J18" i="42"/>
  <c r="I18" i="42"/>
  <c r="I31" i="49"/>
  <c r="J31" i="49"/>
  <c r="I23" i="48"/>
  <c r="J23" i="48"/>
  <c r="I20" i="38"/>
  <c r="J20" i="38"/>
  <c r="K10" i="45"/>
  <c r="J14" i="45"/>
  <c r="K14" i="45"/>
  <c r="I17" i="42"/>
  <c r="J17" i="42"/>
  <c r="I29" i="49"/>
  <c r="J29" i="49"/>
  <c r="I17" i="45"/>
  <c r="J17" i="45"/>
  <c r="I25" i="39"/>
  <c r="J25" i="39"/>
  <c r="J11" i="42"/>
  <c r="I11" i="42"/>
  <c r="I20" i="42"/>
  <c r="J20" i="42"/>
  <c r="J30" i="42"/>
  <c r="I30" i="42"/>
  <c r="J16" i="48"/>
  <c r="I16" i="48"/>
  <c r="J25" i="48"/>
  <c r="I25" i="48"/>
  <c r="I19" i="45"/>
  <c r="J19" i="45"/>
  <c r="I13" i="48"/>
  <c r="J13" i="48"/>
  <c r="J32" i="42"/>
  <c r="I32" i="42"/>
  <c r="I23" i="38"/>
  <c r="K23" i="38"/>
  <c r="I12" i="42"/>
  <c r="I14" i="48"/>
  <c r="I19" i="42"/>
  <c r="I16" i="49"/>
  <c r="K16" i="49"/>
  <c r="R16" i="49"/>
  <c r="S16" i="49"/>
  <c r="J24" i="39"/>
  <c r="K24" i="39"/>
  <c r="I18" i="38"/>
  <c r="J18" i="38"/>
  <c r="I29" i="42"/>
  <c r="J29" i="42"/>
  <c r="J12" i="45"/>
  <c r="K32" i="44"/>
  <c r="R32" i="44"/>
  <c r="S32" i="44"/>
  <c r="I23" i="44"/>
  <c r="K23" i="44"/>
  <c r="R23" i="44"/>
  <c r="S23" i="44"/>
  <c r="J30" i="38"/>
  <c r="K30" i="38"/>
  <c r="J19" i="38"/>
  <c r="K19" i="38"/>
  <c r="J23" i="45"/>
  <c r="I23" i="45"/>
  <c r="I32" i="37"/>
  <c r="J32" i="37"/>
  <c r="I22" i="44"/>
  <c r="J22" i="44"/>
  <c r="J30" i="46"/>
  <c r="I13" i="49"/>
  <c r="J19" i="49"/>
  <c r="J20" i="41"/>
  <c r="I22" i="46"/>
  <c r="J22" i="46"/>
  <c r="J24" i="46"/>
  <c r="I24" i="46"/>
  <c r="J26" i="44"/>
  <c r="I26" i="44"/>
  <c r="J24" i="44"/>
  <c r="I24" i="44"/>
  <c r="J13" i="41"/>
  <c r="I29" i="37"/>
  <c r="K29" i="37"/>
  <c r="R29" i="37"/>
  <c r="S29" i="37"/>
  <c r="J10" i="47"/>
  <c r="J17" i="47"/>
  <c r="J19" i="47"/>
  <c r="J26" i="47"/>
  <c r="J29" i="47"/>
  <c r="I30" i="37"/>
  <c r="K30" i="37"/>
  <c r="R30" i="37"/>
  <c r="S30" i="37"/>
  <c r="J28" i="38"/>
  <c r="J31" i="39"/>
  <c r="I22" i="45"/>
  <c r="K22" i="45"/>
  <c r="J22" i="38"/>
  <c r="I22" i="38"/>
  <c r="I22" i="49"/>
  <c r="J22" i="49"/>
  <c r="J24" i="49"/>
  <c r="I24" i="49"/>
  <c r="J19" i="44"/>
  <c r="I19" i="44"/>
  <c r="J11" i="44"/>
  <c r="I22" i="37"/>
  <c r="J22" i="37"/>
  <c r="K22" i="37" s="1"/>
  <c r="J31" i="44"/>
  <c r="I31" i="44"/>
  <c r="I13" i="38"/>
  <c r="J13" i="38"/>
  <c r="J25" i="38"/>
  <c r="I25" i="38"/>
  <c r="J31" i="38"/>
  <c r="I31" i="38"/>
  <c r="I14" i="39"/>
  <c r="J14" i="39"/>
  <c r="I19" i="39"/>
  <c r="J19" i="39"/>
  <c r="J24" i="40"/>
  <c r="I24" i="40"/>
  <c r="I25" i="41"/>
  <c r="J25" i="41"/>
  <c r="J32" i="41"/>
  <c r="I32" i="41"/>
  <c r="I13" i="42"/>
  <c r="J13" i="42"/>
  <c r="I25" i="42"/>
  <c r="J25" i="42"/>
  <c r="I20" i="48"/>
  <c r="J20" i="48"/>
  <c r="I28" i="48"/>
  <c r="J28" i="48"/>
  <c r="I10" i="46"/>
  <c r="J10" i="46"/>
  <c r="I14" i="46"/>
  <c r="J14" i="46"/>
  <c r="I19" i="46"/>
  <c r="J19" i="46"/>
  <c r="J31" i="45"/>
  <c r="I31" i="45"/>
  <c r="J13" i="44"/>
  <c r="I13" i="44"/>
  <c r="J20" i="44"/>
  <c r="I20" i="44"/>
  <c r="I26" i="37"/>
  <c r="J26" i="37"/>
  <c r="I18" i="45"/>
  <c r="J18" i="45"/>
  <c r="L6" i="37"/>
  <c r="C22" i="13"/>
  <c r="J16" i="38"/>
  <c r="I16" i="38"/>
  <c r="J29" i="38"/>
  <c r="I29" i="38"/>
  <c r="I12" i="40"/>
  <c r="J12" i="40"/>
  <c r="I23" i="41"/>
  <c r="J23" i="41"/>
  <c r="I16" i="42"/>
  <c r="J16" i="42"/>
  <c r="I23" i="42"/>
  <c r="J23" i="42"/>
  <c r="J17" i="49"/>
  <c r="I17" i="49"/>
  <c r="I26" i="49"/>
  <c r="J26" i="49"/>
  <c r="J11" i="48"/>
  <c r="I11" i="48"/>
  <c r="I18" i="48"/>
  <c r="J18" i="48"/>
  <c r="I30" i="48"/>
  <c r="J30" i="48"/>
  <c r="I12" i="46"/>
  <c r="J12" i="46"/>
  <c r="I17" i="46"/>
  <c r="J17" i="46"/>
  <c r="I26" i="46"/>
  <c r="J26" i="46"/>
  <c r="J13" i="45"/>
  <c r="I13" i="45"/>
  <c r="I17" i="44"/>
  <c r="J17" i="44"/>
  <c r="J18" i="43"/>
  <c r="K24" i="45"/>
  <c r="K29" i="45"/>
  <c r="K12" i="38"/>
  <c r="W26" i="38"/>
  <c r="U26" i="38"/>
  <c r="K12" i="44"/>
  <c r="K12" i="45"/>
  <c r="K29" i="46"/>
  <c r="R29" i="46"/>
  <c r="S29" i="46"/>
  <c r="K20" i="46"/>
  <c r="R20" i="46"/>
  <c r="K18" i="47"/>
  <c r="R18" i="47"/>
  <c r="S18" i="47"/>
  <c r="X18" i="47"/>
  <c r="K32" i="48"/>
  <c r="R32" i="48"/>
  <c r="S32" i="48"/>
  <c r="K18" i="49"/>
  <c r="R18" i="49"/>
  <c r="S18" i="49"/>
  <c r="U18" i="49"/>
  <c r="K19" i="49"/>
  <c r="R19" i="49"/>
  <c r="S19" i="49"/>
  <c r="X19" i="49"/>
  <c r="K30" i="49"/>
  <c r="R30" i="49"/>
  <c r="S30" i="49"/>
  <c r="U30" i="49"/>
  <c r="K28" i="49"/>
  <c r="R28" i="49"/>
  <c r="S28" i="49"/>
  <c r="X28" i="49"/>
  <c r="K12" i="41"/>
  <c r="R12" i="41"/>
  <c r="S12" i="41"/>
  <c r="K20" i="39"/>
  <c r="R20" i="39"/>
  <c r="S20" i="39"/>
  <c r="V20" i="39"/>
  <c r="K22" i="39"/>
  <c r="R22" i="39"/>
  <c r="S22" i="39"/>
  <c r="V22" i="39"/>
  <c r="K10" i="39"/>
  <c r="K13" i="41"/>
  <c r="R13" i="41"/>
  <c r="S13" i="41"/>
  <c r="K12" i="42"/>
  <c r="R12" i="42"/>
  <c r="S12" i="42"/>
  <c r="U12" i="42"/>
  <c r="K29" i="47"/>
  <c r="R29" i="47"/>
  <c r="S29" i="47"/>
  <c r="U29" i="47"/>
  <c r="K26" i="45"/>
  <c r="K20" i="43"/>
  <c r="R20" i="43"/>
  <c r="S20" i="43"/>
  <c r="K10" i="43"/>
  <c r="R10" i="43"/>
  <c r="S10" i="43"/>
  <c r="V10" i="43"/>
  <c r="K31" i="43"/>
  <c r="R31" i="43"/>
  <c r="S31" i="43"/>
  <c r="W31" i="43"/>
  <c r="K30" i="44"/>
  <c r="R30" i="44"/>
  <c r="S30" i="44"/>
  <c r="U30" i="44"/>
  <c r="K32" i="46"/>
  <c r="R32" i="46"/>
  <c r="K11" i="46"/>
  <c r="R11" i="46"/>
  <c r="S11" i="46"/>
  <c r="W11" i="46"/>
  <c r="K11" i="49"/>
  <c r="R11" i="49"/>
  <c r="S11" i="49"/>
  <c r="V10" i="49"/>
  <c r="K18" i="40"/>
  <c r="R18" i="40"/>
  <c r="S18" i="40"/>
  <c r="X18" i="40"/>
  <c r="K29" i="39"/>
  <c r="R29" i="39"/>
  <c r="S29" i="39"/>
  <c r="V29" i="39"/>
  <c r="K24" i="48"/>
  <c r="R24" i="48"/>
  <c r="S24" i="48"/>
  <c r="W24" i="48"/>
  <c r="K10" i="42"/>
  <c r="R10" i="42"/>
  <c r="S10" i="42"/>
  <c r="K16" i="43"/>
  <c r="R16" i="43"/>
  <c r="S16" i="43"/>
  <c r="K31" i="46"/>
  <c r="R31" i="46"/>
  <c r="K10" i="44"/>
  <c r="R10" i="44"/>
  <c r="S10" i="44"/>
  <c r="X10" i="44"/>
  <c r="K14" i="44"/>
  <c r="R14" i="44"/>
  <c r="S14" i="44"/>
  <c r="X14" i="44"/>
  <c r="K23" i="46"/>
  <c r="R23" i="46"/>
  <c r="S23" i="46"/>
  <c r="U23" i="46"/>
  <c r="K14" i="47"/>
  <c r="R14" i="47"/>
  <c r="S14" i="47"/>
  <c r="K12" i="48"/>
  <c r="R12" i="48"/>
  <c r="S12" i="48"/>
  <c r="X12" i="48"/>
  <c r="K22" i="48"/>
  <c r="R22" i="48"/>
  <c r="S22" i="48"/>
  <c r="V22" i="48"/>
  <c r="K31" i="48"/>
  <c r="R31" i="48"/>
  <c r="S31" i="48"/>
  <c r="U31" i="48"/>
  <c r="K11" i="41"/>
  <c r="R11" i="41"/>
  <c r="S11" i="41"/>
  <c r="U11" i="41"/>
  <c r="X10" i="41"/>
  <c r="S11" i="40"/>
  <c r="V11" i="40"/>
  <c r="K19" i="42"/>
  <c r="R19" i="42"/>
  <c r="S19" i="42"/>
  <c r="V32" i="43"/>
  <c r="K25" i="47"/>
  <c r="R25" i="47"/>
  <c r="S25" i="47"/>
  <c r="W25" i="47"/>
  <c r="K24" i="42"/>
  <c r="R24" i="42"/>
  <c r="S24" i="42"/>
  <c r="U24" i="42"/>
  <c r="K16" i="46"/>
  <c r="R16" i="46"/>
  <c r="S16" i="46"/>
  <c r="K31" i="41"/>
  <c r="R31" i="41"/>
  <c r="S31" i="41"/>
  <c r="K19" i="48"/>
  <c r="R19" i="48"/>
  <c r="S19" i="48"/>
  <c r="X19" i="48"/>
  <c r="S32" i="39"/>
  <c r="X32" i="39"/>
  <c r="K11" i="45"/>
  <c r="R11" i="45"/>
  <c r="S11" i="45"/>
  <c r="W11" i="45"/>
  <c r="U10" i="49"/>
  <c r="X10" i="49"/>
  <c r="K23" i="43"/>
  <c r="R23" i="43"/>
  <c r="S23" i="43"/>
  <c r="V23" i="43"/>
  <c r="U32" i="43"/>
  <c r="K30" i="46"/>
  <c r="R30" i="46"/>
  <c r="S30" i="46"/>
  <c r="W30" i="46"/>
  <c r="K25" i="44"/>
  <c r="R25" i="44"/>
  <c r="S25" i="44"/>
  <c r="U25" i="44"/>
  <c r="K13" i="43"/>
  <c r="R13" i="43"/>
  <c r="S13" i="43"/>
  <c r="U13" i="43"/>
  <c r="U29" i="40"/>
  <c r="X32" i="43"/>
  <c r="K18" i="46"/>
  <c r="R18" i="46"/>
  <c r="S18" i="46"/>
  <c r="X18" i="46"/>
  <c r="V16" i="39"/>
  <c r="X16" i="39"/>
  <c r="W16" i="39"/>
  <c r="U16" i="39"/>
  <c r="K26" i="48"/>
  <c r="R26" i="48"/>
  <c r="S26" i="48"/>
  <c r="V26" i="48"/>
  <c r="X22" i="42"/>
  <c r="S28" i="40"/>
  <c r="W28" i="40"/>
  <c r="S32" i="46"/>
  <c r="X32" i="46"/>
  <c r="V22" i="42"/>
  <c r="K13" i="46"/>
  <c r="R13" i="46"/>
  <c r="S13" i="46"/>
  <c r="S25" i="40"/>
  <c r="U25" i="40"/>
  <c r="V19" i="40"/>
  <c r="X19" i="40"/>
  <c r="K26" i="47"/>
  <c r="R26" i="47"/>
  <c r="S26" i="47"/>
  <c r="V26" i="47"/>
  <c r="K25" i="49"/>
  <c r="R25" i="49"/>
  <c r="S25" i="49"/>
  <c r="U25" i="49"/>
  <c r="K24" i="38"/>
  <c r="R24" i="38"/>
  <c r="S24" i="38"/>
  <c r="X24" i="38"/>
  <c r="K18" i="43"/>
  <c r="R18" i="43"/>
  <c r="W22" i="42"/>
  <c r="K12" i="43"/>
  <c r="R12" i="43"/>
  <c r="S12" i="43"/>
  <c r="W12" i="43"/>
  <c r="K16" i="44"/>
  <c r="R16" i="44"/>
  <c r="S16" i="44"/>
  <c r="U16" i="44"/>
  <c r="K22" i="43"/>
  <c r="R22" i="43"/>
  <c r="S22" i="43"/>
  <c r="V22" i="43"/>
  <c r="K16" i="45"/>
  <c r="R16" i="45"/>
  <c r="S16" i="45"/>
  <c r="V16" i="45"/>
  <c r="X28" i="46"/>
  <c r="U10" i="40"/>
  <c r="K22" i="41"/>
  <c r="R22" i="41"/>
  <c r="S22" i="41"/>
  <c r="U22" i="41"/>
  <c r="K28" i="44"/>
  <c r="R28" i="44"/>
  <c r="S28" i="44"/>
  <c r="W28" i="44"/>
  <c r="K23" i="49"/>
  <c r="R23" i="49"/>
  <c r="S23" i="49"/>
  <c r="K10" i="47"/>
  <c r="R10" i="47"/>
  <c r="S10" i="47"/>
  <c r="K28" i="38"/>
  <c r="R28" i="38"/>
  <c r="S28" i="38"/>
  <c r="V28" i="38"/>
  <c r="K17" i="48"/>
  <c r="R17" i="48"/>
  <c r="S17" i="48"/>
  <c r="W17" i="48"/>
  <c r="K10" i="48"/>
  <c r="R10" i="48"/>
  <c r="S10" i="48"/>
  <c r="U10" i="48"/>
  <c r="K20" i="45"/>
  <c r="R20" i="45"/>
  <c r="K14" i="49"/>
  <c r="R14" i="49"/>
  <c r="S14" i="49"/>
  <c r="V14" i="49"/>
  <c r="K31" i="42"/>
  <c r="R31" i="42"/>
  <c r="S31" i="42"/>
  <c r="K26" i="42"/>
  <c r="R26" i="42"/>
  <c r="S26" i="42"/>
  <c r="U26" i="42"/>
  <c r="U10" i="41"/>
  <c r="V10" i="41"/>
  <c r="W23" i="40"/>
  <c r="U23" i="40"/>
  <c r="V23" i="40"/>
  <c r="U19" i="40"/>
  <c r="W19" i="40"/>
  <c r="K31" i="39"/>
  <c r="R31" i="39"/>
  <c r="S31" i="39"/>
  <c r="W31" i="39"/>
  <c r="K30" i="39"/>
  <c r="R30" i="39"/>
  <c r="S30" i="39"/>
  <c r="W30" i="40"/>
  <c r="U30" i="40"/>
  <c r="X30" i="40"/>
  <c r="K11" i="39"/>
  <c r="R11" i="39"/>
  <c r="S11" i="39"/>
  <c r="V11" i="39"/>
  <c r="V32" i="38"/>
  <c r="U32" i="38"/>
  <c r="W32" i="38"/>
  <c r="X20" i="39"/>
  <c r="U20" i="39"/>
  <c r="W20" i="39"/>
  <c r="S28" i="39"/>
  <c r="V28" i="39"/>
  <c r="X30" i="43"/>
  <c r="V28" i="46"/>
  <c r="W28" i="46"/>
  <c r="K19" i="47"/>
  <c r="R19" i="47"/>
  <c r="S19" i="47"/>
  <c r="U19" i="47"/>
  <c r="W30" i="43"/>
  <c r="K24" i="47"/>
  <c r="R24" i="47"/>
  <c r="S24" i="47"/>
  <c r="V24" i="47"/>
  <c r="K17" i="47"/>
  <c r="R17" i="47"/>
  <c r="S17" i="47"/>
  <c r="W17" i="47"/>
  <c r="V30" i="43"/>
  <c r="K16" i="47"/>
  <c r="R16" i="47"/>
  <c r="S16" i="47"/>
  <c r="W16" i="47"/>
  <c r="X26" i="38"/>
  <c r="K12" i="47"/>
  <c r="R12" i="47"/>
  <c r="S12" i="47"/>
  <c r="W12" i="47"/>
  <c r="W10" i="40"/>
  <c r="V26" i="38"/>
  <c r="X20" i="40"/>
  <c r="K19" i="43"/>
  <c r="R19" i="43"/>
  <c r="S19" i="43"/>
  <c r="V19" i="43"/>
  <c r="R12" i="44"/>
  <c r="S12" i="44"/>
  <c r="V20" i="40"/>
  <c r="K14" i="48"/>
  <c r="R14" i="48"/>
  <c r="S14" i="48"/>
  <c r="U20" i="40"/>
  <c r="K11" i="43"/>
  <c r="R11" i="43"/>
  <c r="S11" i="43"/>
  <c r="V10" i="40"/>
  <c r="U13" i="40"/>
  <c r="W13" i="40"/>
  <c r="V13" i="40"/>
  <c r="X13" i="40"/>
  <c r="K17" i="45"/>
  <c r="R17" i="45"/>
  <c r="S17" i="45"/>
  <c r="W17" i="45"/>
  <c r="V26" i="43"/>
  <c r="X12" i="37"/>
  <c r="U12" i="37"/>
  <c r="J33" i="42"/>
  <c r="K13" i="48"/>
  <c r="R13" i="48"/>
  <c r="S13" i="48"/>
  <c r="U13" i="48"/>
  <c r="V12" i="37"/>
  <c r="K18" i="44"/>
  <c r="R18" i="44"/>
  <c r="S18" i="44"/>
  <c r="V18" i="44"/>
  <c r="R25" i="46"/>
  <c r="S25" i="46"/>
  <c r="U25" i="46"/>
  <c r="R29" i="44"/>
  <c r="S29" i="44"/>
  <c r="K11" i="44"/>
  <c r="R11" i="44"/>
  <c r="S11" i="44"/>
  <c r="I33" i="47"/>
  <c r="S28" i="45"/>
  <c r="R32" i="40"/>
  <c r="S32" i="40"/>
  <c r="K16" i="48"/>
  <c r="R16" i="48"/>
  <c r="S16" i="48"/>
  <c r="V16" i="48"/>
  <c r="V30" i="45"/>
  <c r="U30" i="45"/>
  <c r="X30" i="45"/>
  <c r="W30" i="45"/>
  <c r="J33" i="49"/>
  <c r="K12" i="49"/>
  <c r="K17" i="42"/>
  <c r="R17" i="42"/>
  <c r="S17" i="42"/>
  <c r="V17" i="42"/>
  <c r="K31" i="37"/>
  <c r="S31" i="37"/>
  <c r="V31" i="37" s="1"/>
  <c r="U31" i="37"/>
  <c r="K29" i="48"/>
  <c r="R29" i="48"/>
  <c r="S29" i="48"/>
  <c r="W29" i="48"/>
  <c r="W29" i="40"/>
  <c r="W26" i="43"/>
  <c r="U26" i="43"/>
  <c r="V29" i="40"/>
  <c r="U26" i="40"/>
  <c r="W26" i="40"/>
  <c r="W18" i="41"/>
  <c r="V18" i="41"/>
  <c r="X26" i="40"/>
  <c r="V26" i="40"/>
  <c r="W17" i="38"/>
  <c r="S14" i="37"/>
  <c r="W11" i="37"/>
  <c r="X11" i="37"/>
  <c r="X13" i="37"/>
  <c r="W13" i="37"/>
  <c r="U11" i="37"/>
  <c r="U13" i="37"/>
  <c r="V11" i="37"/>
  <c r="Y10" i="37"/>
  <c r="W28" i="42"/>
  <c r="X28" i="42"/>
  <c r="V28" i="42"/>
  <c r="U28" i="42"/>
  <c r="V14" i="40"/>
  <c r="I33" i="45"/>
  <c r="J33" i="46"/>
  <c r="I33" i="48"/>
  <c r="I33" i="49"/>
  <c r="K23" i="45"/>
  <c r="R23" i="45"/>
  <c r="S23" i="45"/>
  <c r="J33" i="39"/>
  <c r="I33" i="39"/>
  <c r="I33" i="42"/>
  <c r="W12" i="41"/>
  <c r="V12" i="41"/>
  <c r="U12" i="41"/>
  <c r="X12" i="41"/>
  <c r="V17" i="38"/>
  <c r="J33" i="43"/>
  <c r="J33" i="47"/>
  <c r="K13" i="49"/>
  <c r="R13" i="49"/>
  <c r="S13" i="49"/>
  <c r="W13" i="49"/>
  <c r="K23" i="48"/>
  <c r="R23" i="48"/>
  <c r="S23" i="48"/>
  <c r="U23" i="48"/>
  <c r="I33" i="46"/>
  <c r="X17" i="38"/>
  <c r="K18" i="38"/>
  <c r="R18" i="38"/>
  <c r="K23" i="39"/>
  <c r="R23" i="39"/>
  <c r="S23" i="39"/>
  <c r="U23" i="39"/>
  <c r="W23" i="44"/>
  <c r="X23" i="44"/>
  <c r="V23" i="44"/>
  <c r="U23" i="44"/>
  <c r="R14" i="45"/>
  <c r="S14" i="45"/>
  <c r="R12" i="45"/>
  <c r="S12" i="45"/>
  <c r="U14" i="40"/>
  <c r="K29" i="42"/>
  <c r="R29" i="42"/>
  <c r="S29" i="42"/>
  <c r="K32" i="42"/>
  <c r="R32" i="42"/>
  <c r="S32" i="42"/>
  <c r="K19" i="45"/>
  <c r="K20" i="42"/>
  <c r="R20" i="42"/>
  <c r="S20" i="42"/>
  <c r="K25" i="39"/>
  <c r="R25" i="39"/>
  <c r="S25" i="39"/>
  <c r="W25" i="39"/>
  <c r="K31" i="49"/>
  <c r="X14" i="40"/>
  <c r="K25" i="48"/>
  <c r="R25" i="48"/>
  <c r="S25" i="48"/>
  <c r="K30" i="42"/>
  <c r="R30" i="42"/>
  <c r="S30" i="42"/>
  <c r="X30" i="42"/>
  <c r="K11" i="42"/>
  <c r="R11" i="42"/>
  <c r="S11" i="42"/>
  <c r="K29" i="49"/>
  <c r="R29" i="49"/>
  <c r="S29" i="49"/>
  <c r="U29" i="49"/>
  <c r="R10" i="45"/>
  <c r="S10" i="45"/>
  <c r="K18" i="42"/>
  <c r="R18" i="42"/>
  <c r="S18" i="42"/>
  <c r="U18" i="42"/>
  <c r="R23" i="38"/>
  <c r="S23" i="38"/>
  <c r="X10" i="37"/>
  <c r="U10" i="37"/>
  <c r="V10" i="37"/>
  <c r="K20" i="38"/>
  <c r="R20" i="38"/>
  <c r="S20" i="38"/>
  <c r="U20" i="38"/>
  <c r="U18" i="41"/>
  <c r="X18" i="41"/>
  <c r="W19" i="49"/>
  <c r="V19" i="49"/>
  <c r="K20" i="41"/>
  <c r="R20" i="41"/>
  <c r="S20" i="41"/>
  <c r="U20" i="41"/>
  <c r="U26" i="39"/>
  <c r="X26" i="39"/>
  <c r="V26" i="39"/>
  <c r="W26" i="39"/>
  <c r="I33" i="43"/>
  <c r="J33" i="45"/>
  <c r="K26" i="46"/>
  <c r="R26" i="46"/>
  <c r="S26" i="46"/>
  <c r="K17" i="46"/>
  <c r="R17" i="46"/>
  <c r="S17" i="46"/>
  <c r="K12" i="46"/>
  <c r="R12" i="46"/>
  <c r="S12" i="46"/>
  <c r="K30" i="48"/>
  <c r="R30" i="48"/>
  <c r="S30" i="48"/>
  <c r="K18" i="48"/>
  <c r="R18" i="48"/>
  <c r="S18" i="48"/>
  <c r="J33" i="48"/>
  <c r="K26" i="49"/>
  <c r="R26" i="49"/>
  <c r="S26" i="49"/>
  <c r="K23" i="42"/>
  <c r="R23" i="42"/>
  <c r="S23" i="42"/>
  <c r="K16" i="42"/>
  <c r="R16" i="42"/>
  <c r="S16" i="42"/>
  <c r="K23" i="41"/>
  <c r="R23" i="41"/>
  <c r="S23" i="41"/>
  <c r="K12" i="40"/>
  <c r="R12" i="40"/>
  <c r="S12" i="40"/>
  <c r="K18" i="45"/>
  <c r="R18" i="45"/>
  <c r="S18" i="45"/>
  <c r="K26" i="37"/>
  <c r="R26" i="37"/>
  <c r="S26" i="37"/>
  <c r="X26" i="37" s="1"/>
  <c r="K19" i="44"/>
  <c r="R19" i="44"/>
  <c r="S19" i="44"/>
  <c r="K24" i="49"/>
  <c r="K22" i="38"/>
  <c r="R22" i="38"/>
  <c r="S22" i="38"/>
  <c r="X22" i="38"/>
  <c r="K24" i="44"/>
  <c r="R24" i="44"/>
  <c r="S24" i="44"/>
  <c r="K26" i="44"/>
  <c r="R26" i="44"/>
  <c r="S26" i="44"/>
  <c r="W26" i="44"/>
  <c r="K24" i="46"/>
  <c r="R24" i="46"/>
  <c r="S24" i="46"/>
  <c r="X24" i="46"/>
  <c r="U19" i="49"/>
  <c r="K22" i="44"/>
  <c r="K32" i="37"/>
  <c r="V18" i="39"/>
  <c r="W18" i="39"/>
  <c r="X18" i="39"/>
  <c r="U18" i="39"/>
  <c r="R30" i="38"/>
  <c r="S30" i="38"/>
  <c r="K17" i="44"/>
  <c r="R17" i="44"/>
  <c r="S17" i="44"/>
  <c r="J33" i="44"/>
  <c r="K19" i="46"/>
  <c r="R19" i="46"/>
  <c r="S19" i="46"/>
  <c r="K14" i="46"/>
  <c r="R14" i="46"/>
  <c r="S14" i="46"/>
  <c r="K10" i="46"/>
  <c r="R10" i="46"/>
  <c r="S10" i="46"/>
  <c r="K28" i="48"/>
  <c r="R28" i="48"/>
  <c r="S28" i="48"/>
  <c r="K20" i="48"/>
  <c r="R20" i="48"/>
  <c r="S20" i="48"/>
  <c r="K25" i="42"/>
  <c r="R25" i="42"/>
  <c r="S25" i="42"/>
  <c r="K13" i="42"/>
  <c r="R13" i="42"/>
  <c r="S13" i="42"/>
  <c r="K25" i="41"/>
  <c r="R25" i="41"/>
  <c r="S25" i="41"/>
  <c r="U25" i="41"/>
  <c r="K19" i="39"/>
  <c r="R19" i="39"/>
  <c r="S19" i="39"/>
  <c r="V19" i="39"/>
  <c r="K14" i="39"/>
  <c r="R14" i="39"/>
  <c r="S14" i="39"/>
  <c r="K13" i="38"/>
  <c r="R13" i="38"/>
  <c r="S13" i="38"/>
  <c r="K22" i="49"/>
  <c r="R22" i="49"/>
  <c r="S22" i="49"/>
  <c r="K22" i="46"/>
  <c r="R22" i="46"/>
  <c r="S22" i="46"/>
  <c r="R22" i="45"/>
  <c r="S22" i="45"/>
  <c r="R19" i="38"/>
  <c r="S19" i="38"/>
  <c r="U31" i="39"/>
  <c r="X14" i="38"/>
  <c r="V14" i="38"/>
  <c r="W14" i="38"/>
  <c r="U14" i="38"/>
  <c r="W32" i="44"/>
  <c r="V32" i="44"/>
  <c r="U32" i="44"/>
  <c r="X32" i="44"/>
  <c r="V17" i="40"/>
  <c r="U17" i="40"/>
  <c r="X17" i="40"/>
  <c r="W17" i="40"/>
  <c r="U13" i="39"/>
  <c r="W13" i="39"/>
  <c r="X13" i="39"/>
  <c r="V13" i="39"/>
  <c r="R24" i="45"/>
  <c r="S24" i="45"/>
  <c r="R24" i="39"/>
  <c r="S24" i="39"/>
  <c r="R25" i="37"/>
  <c r="S25" i="37"/>
  <c r="I33" i="44"/>
  <c r="K13" i="45"/>
  <c r="K11" i="48"/>
  <c r="K17" i="49"/>
  <c r="K29" i="38"/>
  <c r="R29" i="38"/>
  <c r="S29" i="38"/>
  <c r="K16" i="38"/>
  <c r="K20" i="44"/>
  <c r="K13" i="44"/>
  <c r="K31" i="45"/>
  <c r="K24" i="40"/>
  <c r="K31" i="38"/>
  <c r="K25" i="38"/>
  <c r="K31" i="44"/>
  <c r="R23" i="47"/>
  <c r="S23" i="47"/>
  <c r="R29" i="45"/>
  <c r="S29" i="45"/>
  <c r="R10" i="39"/>
  <c r="S10" i="39"/>
  <c r="V32" i="49"/>
  <c r="X32" i="49"/>
  <c r="W32" i="49"/>
  <c r="U32" i="49"/>
  <c r="U32" i="47"/>
  <c r="W32" i="47"/>
  <c r="V32" i="47"/>
  <c r="X32" i="47"/>
  <c r="W13" i="47"/>
  <c r="U13" i="47"/>
  <c r="X13" i="47"/>
  <c r="V13" i="47"/>
  <c r="X16" i="49"/>
  <c r="V16" i="49"/>
  <c r="W16" i="49"/>
  <c r="U16" i="49"/>
  <c r="U29" i="37"/>
  <c r="V29" i="37"/>
  <c r="W29" i="37"/>
  <c r="X29" i="37"/>
  <c r="V25" i="45"/>
  <c r="X25" i="45"/>
  <c r="W25" i="45"/>
  <c r="U25" i="45"/>
  <c r="R11" i="38"/>
  <c r="S11" i="38"/>
  <c r="X28" i="43"/>
  <c r="W28" i="43"/>
  <c r="U28" i="43"/>
  <c r="V28" i="43"/>
  <c r="V30" i="47"/>
  <c r="X30" i="47"/>
  <c r="W30" i="47"/>
  <c r="U30" i="47"/>
  <c r="V11" i="47"/>
  <c r="X11" i="47"/>
  <c r="W11" i="47"/>
  <c r="U11" i="47"/>
  <c r="V25" i="43"/>
  <c r="X25" i="43"/>
  <c r="U25" i="43"/>
  <c r="W25" i="43"/>
  <c r="X32" i="45"/>
  <c r="W32" i="45"/>
  <c r="V32" i="45"/>
  <c r="U32" i="45"/>
  <c r="U13" i="41"/>
  <c r="W13" i="41"/>
  <c r="V13" i="41"/>
  <c r="X13" i="41"/>
  <c r="V20" i="47"/>
  <c r="X20" i="47"/>
  <c r="W20" i="47"/>
  <c r="U20" i="47"/>
  <c r="V14" i="43"/>
  <c r="U14" i="43"/>
  <c r="X14" i="43"/>
  <c r="W14" i="43"/>
  <c r="X29" i="43"/>
  <c r="U29" i="43"/>
  <c r="W29" i="43"/>
  <c r="V29" i="43"/>
  <c r="V24" i="43"/>
  <c r="U24" i="43"/>
  <c r="X24" i="43"/>
  <c r="W24" i="43"/>
  <c r="W30" i="49"/>
  <c r="X30" i="49"/>
  <c r="W20" i="49"/>
  <c r="U20" i="49"/>
  <c r="V20" i="49"/>
  <c r="X20" i="49"/>
  <c r="R12" i="39"/>
  <c r="S12" i="39"/>
  <c r="R24" i="41"/>
  <c r="S24" i="41"/>
  <c r="U24" i="41"/>
  <c r="R14" i="42"/>
  <c r="S14" i="42"/>
  <c r="V17" i="43"/>
  <c r="U17" i="43"/>
  <c r="X17" i="43"/>
  <c r="W17" i="43"/>
  <c r="X22" i="39"/>
  <c r="V17" i="39"/>
  <c r="W17" i="39"/>
  <c r="X17" i="39"/>
  <c r="U17" i="39"/>
  <c r="W31" i="47"/>
  <c r="U31" i="47"/>
  <c r="X31" i="47"/>
  <c r="V31" i="47"/>
  <c r="V28" i="47"/>
  <c r="W28" i="47"/>
  <c r="X28" i="47"/>
  <c r="U28" i="47"/>
  <c r="W18" i="47"/>
  <c r="U18" i="47"/>
  <c r="U28" i="49"/>
  <c r="W28" i="49"/>
  <c r="V28" i="49"/>
  <c r="V30" i="37"/>
  <c r="X30" i="37"/>
  <c r="U30" i="37"/>
  <c r="W30" i="37"/>
  <c r="R12" i="38"/>
  <c r="S12" i="38"/>
  <c r="W22" i="47"/>
  <c r="U22" i="47"/>
  <c r="X22" i="47"/>
  <c r="V22" i="47"/>
  <c r="R26" i="45"/>
  <c r="S26" i="45"/>
  <c r="R19" i="41"/>
  <c r="S19" i="41"/>
  <c r="R28" i="37"/>
  <c r="S28" i="37"/>
  <c r="W23" i="46"/>
  <c r="S20" i="46"/>
  <c r="U11" i="45"/>
  <c r="X23" i="46"/>
  <c r="V23" i="46"/>
  <c r="U11" i="46"/>
  <c r="U25" i="47"/>
  <c r="V18" i="47"/>
  <c r="V29" i="47"/>
  <c r="X29" i="47"/>
  <c r="W29" i="47"/>
  <c r="X24" i="48"/>
  <c r="X18" i="49"/>
  <c r="V18" i="49"/>
  <c r="W18" i="49"/>
  <c r="V30" i="49"/>
  <c r="X12" i="42"/>
  <c r="V12" i="42"/>
  <c r="W12" i="42"/>
  <c r="U22" i="39"/>
  <c r="W22" i="39"/>
  <c r="U29" i="39"/>
  <c r="X30" i="44"/>
  <c r="W30" i="44"/>
  <c r="V24" i="48"/>
  <c r="V12" i="48"/>
  <c r="U11" i="40"/>
  <c r="W29" i="39"/>
  <c r="X29" i="39"/>
  <c r="U18" i="40"/>
  <c r="W18" i="40"/>
  <c r="X11" i="40"/>
  <c r="W11" i="40"/>
  <c r="V18" i="40"/>
  <c r="U22" i="48"/>
  <c r="U12" i="48"/>
  <c r="X26" i="47"/>
  <c r="V30" i="44"/>
  <c r="V10" i="44"/>
  <c r="X31" i="43"/>
  <c r="V31" i="43"/>
  <c r="U31" i="43"/>
  <c r="X10" i="43"/>
  <c r="W10" i="43"/>
  <c r="U10" i="43"/>
  <c r="W10" i="44"/>
  <c r="U10" i="44"/>
  <c r="X11" i="46"/>
  <c r="V11" i="46"/>
  <c r="S31" i="46"/>
  <c r="U31" i="46"/>
  <c r="X25" i="47"/>
  <c r="U24" i="48"/>
  <c r="W12" i="48"/>
  <c r="X22" i="48"/>
  <c r="W22" i="48"/>
  <c r="U32" i="39"/>
  <c r="X31" i="39"/>
  <c r="X11" i="45"/>
  <c r="W23" i="43"/>
  <c r="U23" i="43"/>
  <c r="U14" i="44"/>
  <c r="V16" i="44"/>
  <c r="W14" i="44"/>
  <c r="V14" i="44"/>
  <c r="U32" i="46"/>
  <c r="U30" i="46"/>
  <c r="V25" i="47"/>
  <c r="W31" i="48"/>
  <c r="V31" i="48"/>
  <c r="X31" i="48"/>
  <c r="W19" i="48"/>
  <c r="W13" i="48"/>
  <c r="W25" i="49"/>
  <c r="V25" i="49"/>
  <c r="X25" i="49"/>
  <c r="X24" i="42"/>
  <c r="V24" i="42"/>
  <c r="W24" i="42"/>
  <c r="W11" i="41"/>
  <c r="V11" i="41"/>
  <c r="X11" i="41"/>
  <c r="W22" i="41"/>
  <c r="V11" i="45"/>
  <c r="X23" i="43"/>
  <c r="X13" i="43"/>
  <c r="V19" i="48"/>
  <c r="W26" i="42"/>
  <c r="X25" i="40"/>
  <c r="W25" i="44"/>
  <c r="W32" i="39"/>
  <c r="X25" i="44"/>
  <c r="U19" i="48"/>
  <c r="X28" i="44"/>
  <c r="V25" i="44"/>
  <c r="V25" i="40"/>
  <c r="W13" i="43"/>
  <c r="V28" i="44"/>
  <c r="U28" i="40"/>
  <c r="W26" i="47"/>
  <c r="W16" i="45"/>
  <c r="X28" i="40"/>
  <c r="W22" i="43"/>
  <c r="W18" i="46"/>
  <c r="X22" i="43"/>
  <c r="W28" i="38"/>
  <c r="V28" i="40"/>
  <c r="U18" i="46"/>
  <c r="V13" i="43"/>
  <c r="U22" i="43"/>
  <c r="V31" i="39"/>
  <c r="X28" i="38"/>
  <c r="X16" i="44"/>
  <c r="U26" i="47"/>
  <c r="V18" i="46"/>
  <c r="W16" i="44"/>
  <c r="X13" i="49"/>
  <c r="V32" i="39"/>
  <c r="X30" i="46"/>
  <c r="W26" i="48"/>
  <c r="V30" i="46"/>
  <c r="X26" i="42"/>
  <c r="V26" i="42"/>
  <c r="U12" i="43"/>
  <c r="V12" i="43"/>
  <c r="U16" i="46"/>
  <c r="X16" i="46"/>
  <c r="W16" i="46"/>
  <c r="V16" i="46"/>
  <c r="X12" i="43"/>
  <c r="W24" i="38"/>
  <c r="U26" i="48"/>
  <c r="X13" i="48"/>
  <c r="V13" i="48"/>
  <c r="U28" i="44"/>
  <c r="X26" i="48"/>
  <c r="W19" i="43"/>
  <c r="X19" i="43"/>
  <c r="W14" i="49"/>
  <c r="U14" i="49"/>
  <c r="U24" i="38"/>
  <c r="U16" i="45"/>
  <c r="U17" i="45"/>
  <c r="V24" i="38"/>
  <c r="X16" i="45"/>
  <c r="X14" i="49"/>
  <c r="W32" i="46"/>
  <c r="V32" i="46"/>
  <c r="V22" i="41"/>
  <c r="X22" i="41"/>
  <c r="W25" i="40"/>
  <c r="X10" i="48"/>
  <c r="S18" i="43"/>
  <c r="W18" i="43"/>
  <c r="S20" i="45"/>
  <c r="X20" i="45"/>
  <c r="U28" i="38"/>
  <c r="X17" i="48"/>
  <c r="V17" i="48"/>
  <c r="U17" i="48"/>
  <c r="W10" i="48"/>
  <c r="V10" i="48"/>
  <c r="W19" i="39"/>
  <c r="X19" i="39"/>
  <c r="X29" i="49"/>
  <c r="W29" i="49"/>
  <c r="U19" i="43"/>
  <c r="X19" i="47"/>
  <c r="V19" i="47"/>
  <c r="W19" i="47"/>
  <c r="U11" i="39"/>
  <c r="V17" i="45"/>
  <c r="X23" i="39"/>
  <c r="X11" i="39"/>
  <c r="X17" i="45"/>
  <c r="W11" i="39"/>
  <c r="X28" i="39"/>
  <c r="V12" i="47"/>
  <c r="X12" i="47"/>
  <c r="W24" i="47"/>
  <c r="U24" i="47"/>
  <c r="X16" i="47"/>
  <c r="V16" i="47"/>
  <c r="W28" i="39"/>
  <c r="U16" i="47"/>
  <c r="U28" i="39"/>
  <c r="U12" i="47"/>
  <c r="W18" i="42"/>
  <c r="W24" i="46"/>
  <c r="W18" i="44"/>
  <c r="X25" i="46"/>
  <c r="V17" i="47"/>
  <c r="X17" i="47"/>
  <c r="U17" i="47"/>
  <c r="X24" i="47"/>
  <c r="V20" i="46"/>
  <c r="U20" i="46"/>
  <c r="X20" i="46"/>
  <c r="W20" i="46"/>
  <c r="V23" i="39"/>
  <c r="W12" i="44"/>
  <c r="V12" i="44"/>
  <c r="U12" i="44"/>
  <c r="X12" i="44"/>
  <c r="X18" i="44"/>
  <c r="W16" i="48"/>
  <c r="X23" i="48"/>
  <c r="U18" i="44"/>
  <c r="V25" i="39"/>
  <c r="W23" i="48"/>
  <c r="X25" i="39"/>
  <c r="U19" i="39"/>
  <c r="W25" i="46"/>
  <c r="V29" i="49"/>
  <c r="V23" i="48"/>
  <c r="U24" i="46"/>
  <c r="W17" i="42"/>
  <c r="U17" i="42"/>
  <c r="X17" i="42"/>
  <c r="V25" i="46"/>
  <c r="V29" i="44"/>
  <c r="U29" i="44"/>
  <c r="X29" i="44"/>
  <c r="W29" i="44"/>
  <c r="U28" i="45"/>
  <c r="V28" i="45"/>
  <c r="X28" i="45"/>
  <c r="W28" i="45"/>
  <c r="V32" i="40"/>
  <c r="U32" i="40"/>
  <c r="X32" i="40"/>
  <c r="W32" i="40"/>
  <c r="W23" i="39"/>
  <c r="U29" i="48"/>
  <c r="X29" i="48"/>
  <c r="X26" i="44"/>
  <c r="V29" i="48"/>
  <c r="W30" i="42"/>
  <c r="X16" i="48"/>
  <c r="U16" i="48"/>
  <c r="R12" i="49"/>
  <c r="S12" i="49"/>
  <c r="V22" i="38"/>
  <c r="W22" i="38"/>
  <c r="W19" i="38"/>
  <c r="AA10" i="37"/>
  <c r="Z10" i="37"/>
  <c r="W14" i="37"/>
  <c r="V14" i="37"/>
  <c r="U14" i="37"/>
  <c r="X14" i="37"/>
  <c r="Y11" i="37"/>
  <c r="AB11" i="37"/>
  <c r="AB10" i="37"/>
  <c r="X23" i="45"/>
  <c r="W23" i="45"/>
  <c r="V23" i="45"/>
  <c r="U23" i="45"/>
  <c r="V30" i="42"/>
  <c r="V18" i="42"/>
  <c r="U13" i="49"/>
  <c r="U30" i="42"/>
  <c r="X18" i="42"/>
  <c r="U22" i="38"/>
  <c r="S18" i="38"/>
  <c r="W18" i="38"/>
  <c r="X32" i="48"/>
  <c r="V32" i="48"/>
  <c r="W32" i="48"/>
  <c r="U32" i="48"/>
  <c r="V13" i="49"/>
  <c r="W12" i="45"/>
  <c r="X12" i="45"/>
  <c r="V12" i="45"/>
  <c r="U12" i="45"/>
  <c r="U10" i="45"/>
  <c r="X10" i="45"/>
  <c r="W10" i="45"/>
  <c r="V10" i="45"/>
  <c r="V26" i="44"/>
  <c r="U25" i="39"/>
  <c r="R19" i="45"/>
  <c r="S19" i="45"/>
  <c r="U26" i="44"/>
  <c r="X20" i="38"/>
  <c r="V20" i="38"/>
  <c r="W20" i="38"/>
  <c r="X25" i="48"/>
  <c r="V25" i="48"/>
  <c r="W25" i="48"/>
  <c r="U25" i="48"/>
  <c r="R31" i="49"/>
  <c r="S31" i="49"/>
  <c r="U32" i="42"/>
  <c r="W32" i="42"/>
  <c r="V32" i="42"/>
  <c r="X32" i="42"/>
  <c r="X29" i="42"/>
  <c r="V29" i="42"/>
  <c r="U29" i="42"/>
  <c r="W29" i="42"/>
  <c r="W14" i="45"/>
  <c r="V14" i="45"/>
  <c r="X14" i="45"/>
  <c r="U14" i="45"/>
  <c r="U23" i="38"/>
  <c r="W23" i="38"/>
  <c r="X23" i="38"/>
  <c r="V23" i="38"/>
  <c r="U11" i="42"/>
  <c r="W11" i="42"/>
  <c r="V11" i="42"/>
  <c r="X11" i="42"/>
  <c r="U20" i="42"/>
  <c r="V20" i="42"/>
  <c r="W20" i="42"/>
  <c r="X20" i="42"/>
  <c r="V20" i="41"/>
  <c r="X20" i="41"/>
  <c r="W20" i="41"/>
  <c r="V30" i="39"/>
  <c r="X30" i="39"/>
  <c r="W30" i="39"/>
  <c r="U30" i="39"/>
  <c r="R32" i="37"/>
  <c r="S32" i="37"/>
  <c r="X32" i="37" s="1"/>
  <c r="V24" i="46"/>
  <c r="R22" i="44"/>
  <c r="S22" i="44"/>
  <c r="R24" i="49"/>
  <c r="S24" i="49"/>
  <c r="W19" i="44"/>
  <c r="V19" i="44"/>
  <c r="X19" i="44"/>
  <c r="U19" i="44"/>
  <c r="W22" i="45"/>
  <c r="U22" i="45"/>
  <c r="X22" i="45"/>
  <c r="V22" i="45"/>
  <c r="W24" i="44"/>
  <c r="X24" i="44"/>
  <c r="U24" i="44"/>
  <c r="V24" i="44"/>
  <c r="X22" i="49"/>
  <c r="V22" i="49"/>
  <c r="W22" i="49"/>
  <c r="U22" i="49"/>
  <c r="U30" i="38"/>
  <c r="X30" i="38"/>
  <c r="V30" i="38"/>
  <c r="W30" i="38"/>
  <c r="W22" i="46"/>
  <c r="U22" i="46"/>
  <c r="X22" i="46"/>
  <c r="V22" i="46"/>
  <c r="W20" i="48"/>
  <c r="U20" i="48"/>
  <c r="V20" i="48"/>
  <c r="X20" i="48"/>
  <c r="W14" i="46"/>
  <c r="U14" i="46"/>
  <c r="X14" i="46"/>
  <c r="V14" i="46"/>
  <c r="W18" i="45"/>
  <c r="U18" i="45"/>
  <c r="X18" i="45"/>
  <c r="V18" i="45"/>
  <c r="W12" i="46"/>
  <c r="U12" i="46"/>
  <c r="V12" i="46"/>
  <c r="X12" i="46"/>
  <c r="U10" i="39"/>
  <c r="W10" i="39"/>
  <c r="X10" i="39"/>
  <c r="V10" i="39"/>
  <c r="W23" i="47"/>
  <c r="U23" i="47"/>
  <c r="X23" i="47"/>
  <c r="V23" i="47"/>
  <c r="V25" i="42"/>
  <c r="X25" i="42"/>
  <c r="W25" i="42"/>
  <c r="U25" i="42"/>
  <c r="W10" i="46"/>
  <c r="U10" i="46"/>
  <c r="V10" i="46"/>
  <c r="X10" i="46"/>
  <c r="W26" i="37"/>
  <c r="X12" i="40"/>
  <c r="W12" i="40"/>
  <c r="U12" i="40"/>
  <c r="V12" i="40"/>
  <c r="U30" i="48"/>
  <c r="W30" i="48"/>
  <c r="V30" i="48"/>
  <c r="X30" i="48"/>
  <c r="W17" i="44"/>
  <c r="U17" i="44"/>
  <c r="V17" i="44"/>
  <c r="X17" i="44"/>
  <c r="V23" i="49"/>
  <c r="X23" i="49"/>
  <c r="W23" i="49"/>
  <c r="U23" i="49"/>
  <c r="U14" i="47"/>
  <c r="W14" i="47"/>
  <c r="V14" i="47"/>
  <c r="X14" i="47"/>
  <c r="X16" i="42"/>
  <c r="V16" i="42"/>
  <c r="W16" i="42"/>
  <c r="U16" i="42"/>
  <c r="V14" i="39"/>
  <c r="X14" i="39"/>
  <c r="W14" i="39"/>
  <c r="U14" i="39"/>
  <c r="R25" i="38"/>
  <c r="S25" i="38"/>
  <c r="R24" i="40"/>
  <c r="S24" i="40"/>
  <c r="R31" i="45"/>
  <c r="S31" i="45"/>
  <c r="R20" i="44"/>
  <c r="S20" i="44"/>
  <c r="X29" i="38"/>
  <c r="U29" i="38"/>
  <c r="W29" i="38"/>
  <c r="V29" i="38"/>
  <c r="R11" i="48"/>
  <c r="S11" i="48"/>
  <c r="V13" i="38"/>
  <c r="W13" i="38"/>
  <c r="X13" i="38"/>
  <c r="U13" i="38"/>
  <c r="X25" i="41"/>
  <c r="W25" i="41"/>
  <c r="V25" i="41"/>
  <c r="X13" i="42"/>
  <c r="V13" i="42"/>
  <c r="U13" i="42"/>
  <c r="W13" i="42"/>
  <c r="W28" i="48"/>
  <c r="U28" i="48"/>
  <c r="X28" i="48"/>
  <c r="V28" i="48"/>
  <c r="W19" i="46"/>
  <c r="X19" i="46"/>
  <c r="U19" i="46"/>
  <c r="V19" i="46"/>
  <c r="V23" i="41"/>
  <c r="X23" i="41"/>
  <c r="U23" i="41"/>
  <c r="W23" i="41"/>
  <c r="V23" i="42"/>
  <c r="X23" i="42"/>
  <c r="U23" i="42"/>
  <c r="W23" i="42"/>
  <c r="X26" i="49"/>
  <c r="V26" i="49"/>
  <c r="U26" i="49"/>
  <c r="W26" i="49"/>
  <c r="U18" i="48"/>
  <c r="W18" i="48"/>
  <c r="X18" i="48"/>
  <c r="V18" i="48"/>
  <c r="W17" i="46"/>
  <c r="U17" i="46"/>
  <c r="V17" i="46"/>
  <c r="X17" i="46"/>
  <c r="W26" i="46"/>
  <c r="X26" i="46"/>
  <c r="V26" i="46"/>
  <c r="U26" i="46"/>
  <c r="W11" i="44"/>
  <c r="U11" i="44"/>
  <c r="V11" i="44"/>
  <c r="X11" i="44"/>
  <c r="V29" i="45"/>
  <c r="U29" i="45"/>
  <c r="W29" i="45"/>
  <c r="X29" i="45"/>
  <c r="R31" i="44"/>
  <c r="S31" i="44"/>
  <c r="R31" i="38"/>
  <c r="S31" i="38"/>
  <c r="R13" i="44"/>
  <c r="S13" i="44"/>
  <c r="R16" i="38"/>
  <c r="R17" i="49"/>
  <c r="S17" i="49"/>
  <c r="R13" i="45"/>
  <c r="S13" i="45"/>
  <c r="X25" i="37"/>
  <c r="W25" i="37"/>
  <c r="U25" i="37"/>
  <c r="V25" i="37"/>
  <c r="X24" i="39"/>
  <c r="W24" i="39"/>
  <c r="V24" i="39"/>
  <c r="U24" i="39"/>
  <c r="V24" i="45"/>
  <c r="U24" i="45"/>
  <c r="W24" i="45"/>
  <c r="X24" i="45"/>
  <c r="V31" i="41"/>
  <c r="W31" i="41"/>
  <c r="X31" i="41"/>
  <c r="U31" i="41"/>
  <c r="X11" i="38"/>
  <c r="U11" i="38"/>
  <c r="V11" i="38"/>
  <c r="W11" i="38"/>
  <c r="U10" i="47"/>
  <c r="W10" i="47"/>
  <c r="X10" i="47"/>
  <c r="V10" i="47"/>
  <c r="X29" i="46"/>
  <c r="V29" i="46"/>
  <c r="W29" i="46"/>
  <c r="U29" i="46"/>
  <c r="V13" i="46"/>
  <c r="U13" i="46"/>
  <c r="X13" i="46"/>
  <c r="W13" i="46"/>
  <c r="V10" i="42"/>
  <c r="X10" i="42"/>
  <c r="W10" i="42"/>
  <c r="U10" i="42"/>
  <c r="V24" i="41"/>
  <c r="X24" i="41"/>
  <c r="W24" i="41"/>
  <c r="U20" i="43"/>
  <c r="W20" i="43"/>
  <c r="V20" i="43"/>
  <c r="X20" i="43"/>
  <c r="X28" i="37"/>
  <c r="V28" i="37"/>
  <c r="U28" i="37"/>
  <c r="W28" i="37"/>
  <c r="W26" i="45"/>
  <c r="X26" i="45"/>
  <c r="U26" i="45"/>
  <c r="V26" i="45"/>
  <c r="X19" i="42"/>
  <c r="W19" i="42"/>
  <c r="U19" i="42"/>
  <c r="V19" i="42"/>
  <c r="X31" i="42"/>
  <c r="W31" i="42"/>
  <c r="U31" i="42"/>
  <c r="V31" i="42"/>
  <c r="V12" i="39"/>
  <c r="W12" i="39"/>
  <c r="X12" i="39"/>
  <c r="U12" i="39"/>
  <c r="W11" i="49"/>
  <c r="U11" i="49"/>
  <c r="V11" i="49"/>
  <c r="X11" i="49"/>
  <c r="V11" i="43"/>
  <c r="U11" i="43"/>
  <c r="X11" i="43"/>
  <c r="W11" i="43"/>
  <c r="X19" i="41"/>
  <c r="W19" i="41"/>
  <c r="U19" i="41"/>
  <c r="V19" i="41"/>
  <c r="W16" i="43"/>
  <c r="U16" i="43"/>
  <c r="V16" i="43"/>
  <c r="X16" i="43"/>
  <c r="X12" i="38"/>
  <c r="V12" i="38"/>
  <c r="U12" i="38"/>
  <c r="W12" i="38"/>
  <c r="X14" i="42"/>
  <c r="W14" i="42"/>
  <c r="U14" i="42"/>
  <c r="V14" i="42"/>
  <c r="W14" i="48"/>
  <c r="V14" i="48"/>
  <c r="X14" i="48"/>
  <c r="U14" i="48"/>
  <c r="X31" i="46"/>
  <c r="W31" i="46"/>
  <c r="V31" i="46"/>
  <c r="V20" i="45"/>
  <c r="U18" i="43"/>
  <c r="X18" i="43"/>
  <c r="V18" i="43"/>
  <c r="U20" i="45"/>
  <c r="W20" i="45"/>
  <c r="S16" i="38"/>
  <c r="U16" i="38"/>
  <c r="V18" i="38"/>
  <c r="X12" i="49"/>
  <c r="W12" i="49"/>
  <c r="U12" i="49"/>
  <c r="V12" i="49"/>
  <c r="X19" i="38"/>
  <c r="V19" i="38"/>
  <c r="U19" i="38"/>
  <c r="X18" i="38"/>
  <c r="U18" i="38"/>
  <c r="Y12" i="37"/>
  <c r="Z12" i="37"/>
  <c r="AA11" i="37"/>
  <c r="Z11" i="37"/>
  <c r="V19" i="45"/>
  <c r="X19" i="45"/>
  <c r="W19" i="45"/>
  <c r="U19" i="45"/>
  <c r="X31" i="49"/>
  <c r="U31" i="49"/>
  <c r="W31" i="49"/>
  <c r="V31" i="49"/>
  <c r="U22" i="44"/>
  <c r="W22" i="44"/>
  <c r="V22" i="44"/>
  <c r="X22" i="44"/>
  <c r="W24" i="49"/>
  <c r="V24" i="49"/>
  <c r="U24" i="49"/>
  <c r="X24" i="49"/>
  <c r="X17" i="49"/>
  <c r="V17" i="49"/>
  <c r="U17" i="49"/>
  <c r="W17" i="49"/>
  <c r="V11" i="48"/>
  <c r="X11" i="48"/>
  <c r="U11" i="48"/>
  <c r="W11" i="48"/>
  <c r="W31" i="45"/>
  <c r="U31" i="45"/>
  <c r="V31" i="45"/>
  <c r="X31" i="45"/>
  <c r="X31" i="38"/>
  <c r="U31" i="38"/>
  <c r="W31" i="38"/>
  <c r="V31" i="38"/>
  <c r="U13" i="45"/>
  <c r="X13" i="45"/>
  <c r="V13" i="45"/>
  <c r="W13" i="45"/>
  <c r="W13" i="44"/>
  <c r="V13" i="44"/>
  <c r="X13" i="44"/>
  <c r="U13" i="44"/>
  <c r="W31" i="44"/>
  <c r="X31" i="44"/>
  <c r="U31" i="44"/>
  <c r="V31" i="44"/>
  <c r="W20" i="44"/>
  <c r="X20" i="44"/>
  <c r="U20" i="44"/>
  <c r="V20" i="44"/>
  <c r="X24" i="40"/>
  <c r="U24" i="40"/>
  <c r="V24" i="40"/>
  <c r="W24" i="40"/>
  <c r="U25" i="38"/>
  <c r="X25" i="38"/>
  <c r="V25" i="38"/>
  <c r="W25" i="38"/>
  <c r="W16" i="38"/>
  <c r="V16" i="38"/>
  <c r="X16" i="38"/>
  <c r="AA12" i="37"/>
  <c r="AB12" i="37"/>
  <c r="Y13" i="37"/>
  <c r="AB13" i="37"/>
  <c r="Y14" i="37"/>
  <c r="AB14" i="37"/>
  <c r="AA13" i="37"/>
  <c r="Z13" i="37"/>
  <c r="AA14" i="37"/>
  <c r="Z14" i="37"/>
  <c r="Y10" i="39"/>
  <c r="Y11" i="39"/>
  <c r="AA10" i="39"/>
  <c r="AB10" i="39"/>
  <c r="Z10" i="39"/>
  <c r="Z11" i="39"/>
  <c r="AA11" i="39"/>
  <c r="AB11" i="39"/>
  <c r="Y12" i="39"/>
  <c r="AA12" i="39"/>
  <c r="Y13" i="39"/>
  <c r="Z12" i="39"/>
  <c r="AB12" i="39"/>
  <c r="Z13" i="39"/>
  <c r="AA13" i="39"/>
  <c r="Y14" i="39"/>
  <c r="AB13" i="39"/>
  <c r="Y16" i="39"/>
  <c r="AA14" i="39"/>
  <c r="AB14" i="39"/>
  <c r="Z14" i="39"/>
  <c r="Z16" i="39"/>
  <c r="AB16" i="39"/>
  <c r="AA16" i="39"/>
  <c r="Y17" i="39"/>
  <c r="AB17" i="39"/>
  <c r="Y18" i="39"/>
  <c r="Z17" i="39"/>
  <c r="AA17" i="39"/>
  <c r="Z18" i="39"/>
  <c r="AB18" i="39"/>
  <c r="AA18" i="39"/>
  <c r="Y19" i="39"/>
  <c r="Z19" i="39"/>
  <c r="Y20" i="39"/>
  <c r="AA19" i="39"/>
  <c r="AB19" i="39"/>
  <c r="Z20" i="39"/>
  <c r="AB20" i="39"/>
  <c r="AA20" i="39"/>
  <c r="Y22" i="39"/>
  <c r="Z22" i="39"/>
  <c r="AA22" i="39"/>
  <c r="Y23" i="39"/>
  <c r="AB22" i="39"/>
  <c r="Y24" i="39"/>
  <c r="AA23" i="39"/>
  <c r="Z23" i="39"/>
  <c r="AB23" i="39"/>
  <c r="AA24" i="39"/>
  <c r="Y25" i="39"/>
  <c r="AB24" i="39"/>
  <c r="Z24" i="39"/>
  <c r="AB25" i="39"/>
  <c r="Y26" i="39"/>
  <c r="Z25" i="39"/>
  <c r="AA25" i="39"/>
  <c r="Z26" i="39"/>
  <c r="AB26" i="39"/>
  <c r="AA26" i="39"/>
  <c r="Y28" i="39"/>
  <c r="AA28" i="39"/>
  <c r="Z28" i="39"/>
  <c r="AB28" i="39"/>
  <c r="Y29" i="39"/>
  <c r="Z29" i="39"/>
  <c r="AA29" i="39"/>
  <c r="AB29" i="39"/>
  <c r="Y30" i="39"/>
  <c r="AA30" i="39"/>
  <c r="Y31" i="39"/>
  <c r="AB30" i="39"/>
  <c r="Z30" i="39"/>
  <c r="Y32" i="39"/>
  <c r="AB31" i="39"/>
  <c r="Z31" i="39"/>
  <c r="AA31" i="39"/>
  <c r="AB32" i="39"/>
  <c r="Y33" i="39"/>
  <c r="Z32" i="39"/>
  <c r="AA32" i="39"/>
  <c r="AB33" i="39"/>
  <c r="AA33" i="39"/>
  <c r="Z33" i="39"/>
  <c r="Y10" i="40"/>
  <c r="AB10" i="40"/>
  <c r="Y11" i="40"/>
  <c r="Z10" i="40"/>
  <c r="AA10" i="40"/>
  <c r="Z11" i="40"/>
  <c r="AB11" i="40"/>
  <c r="AA11" i="40"/>
  <c r="Y12" i="40"/>
  <c r="Z12" i="40"/>
  <c r="AB12" i="40"/>
  <c r="AA12" i="40"/>
  <c r="Y13" i="40"/>
  <c r="Z13" i="40"/>
  <c r="AA13" i="40"/>
  <c r="AB13" i="40"/>
  <c r="Y14" i="40"/>
  <c r="Z14" i="40"/>
  <c r="AA14" i="40"/>
  <c r="AB14" i="40"/>
  <c r="Y10" i="41"/>
  <c r="AA10" i="41"/>
  <c r="Y11" i="41"/>
  <c r="Z10" i="41"/>
  <c r="AB10" i="41"/>
  <c r="Z11" i="41"/>
  <c r="AB11" i="41"/>
  <c r="AA11" i="41"/>
  <c r="Y12" i="41"/>
  <c r="AA12" i="41"/>
  <c r="Y13" i="41"/>
  <c r="AB12" i="41"/>
  <c r="Z12" i="41"/>
  <c r="Z13" i="41"/>
  <c r="AB13" i="41"/>
  <c r="AA13" i="41"/>
  <c r="Y10" i="42"/>
  <c r="AA10" i="42"/>
  <c r="Y11" i="42"/>
  <c r="AB10" i="42"/>
  <c r="Z10" i="42"/>
  <c r="Y12" i="42"/>
  <c r="AA11" i="42"/>
  <c r="Z11" i="42"/>
  <c r="AB11" i="42"/>
  <c r="Y13" i="42"/>
  <c r="Z12" i="42"/>
  <c r="AB12" i="42"/>
  <c r="AA12" i="42"/>
  <c r="Z13" i="42"/>
  <c r="AA13" i="42"/>
  <c r="AB13" i="42"/>
  <c r="Y14" i="42"/>
  <c r="AB14" i="42"/>
  <c r="AA14" i="42"/>
  <c r="Y16" i="42"/>
  <c r="Z14" i="42"/>
  <c r="Y17" i="42"/>
  <c r="AA16" i="42"/>
  <c r="Z16" i="42"/>
  <c r="AB16" i="42"/>
  <c r="Z17" i="42"/>
  <c r="AB17" i="42"/>
  <c r="AA17" i="42"/>
  <c r="Y18" i="42"/>
  <c r="AA18" i="42"/>
  <c r="Z18" i="42"/>
  <c r="AB18" i="42"/>
  <c r="Y19" i="42"/>
  <c r="AA19" i="42"/>
  <c r="AB19" i="42"/>
  <c r="Z19" i="42"/>
  <c r="Y20" i="42"/>
  <c r="Y22" i="42"/>
  <c r="AA20" i="42"/>
  <c r="Z20" i="42"/>
  <c r="AB20" i="42"/>
  <c r="Z22" i="42"/>
  <c r="AA22" i="42"/>
  <c r="AB22" i="42"/>
  <c r="Y23" i="42"/>
  <c r="Y24" i="42"/>
  <c r="AA23" i="42"/>
  <c r="Z23" i="42"/>
  <c r="AB23" i="42"/>
  <c r="Y25" i="42"/>
  <c r="Z24" i="42"/>
  <c r="AB24" i="42"/>
  <c r="AA24" i="42"/>
  <c r="Y26" i="42"/>
  <c r="AA25" i="42"/>
  <c r="Z25" i="42"/>
  <c r="AB25" i="42"/>
  <c r="AB26" i="42"/>
  <c r="AA26" i="42"/>
  <c r="Z26" i="42"/>
  <c r="Y28" i="42"/>
  <c r="Y29" i="42"/>
  <c r="AA28" i="42"/>
  <c r="Z28" i="42"/>
  <c r="AB28" i="42"/>
  <c r="Z29" i="42"/>
  <c r="Y30" i="42"/>
  <c r="AB29" i="42"/>
  <c r="AA29" i="42"/>
  <c r="AB30" i="42"/>
  <c r="Y31" i="42"/>
  <c r="Z30" i="42"/>
  <c r="AA30" i="42"/>
  <c r="AB31" i="42"/>
  <c r="AA31" i="42"/>
  <c r="Z31" i="42"/>
  <c r="Y32" i="42"/>
  <c r="AA32" i="42"/>
  <c r="Y33" i="42"/>
  <c r="Z32" i="42"/>
  <c r="AB32" i="42"/>
  <c r="Z33" i="42"/>
  <c r="AA33" i="42"/>
  <c r="AB33" i="42"/>
  <c r="Y10" i="49"/>
  <c r="Z10" i="49"/>
  <c r="Y11" i="49"/>
  <c r="AA10" i="49"/>
  <c r="AB10" i="49"/>
  <c r="AB11" i="49"/>
  <c r="Y12" i="49"/>
  <c r="Z11" i="49"/>
  <c r="AA11" i="49"/>
  <c r="Y13" i="49"/>
  <c r="AA12" i="49"/>
  <c r="Z12" i="49"/>
  <c r="AB12" i="49"/>
  <c r="Z13" i="49"/>
  <c r="AA13" i="49"/>
  <c r="AB13" i="49"/>
  <c r="Y14" i="49"/>
  <c r="Y16" i="49"/>
  <c r="AA14" i="49"/>
  <c r="AB14" i="49"/>
  <c r="Z14" i="49"/>
  <c r="Y17" i="49"/>
  <c r="AB16" i="49"/>
  <c r="Z16" i="49"/>
  <c r="AA16" i="49"/>
  <c r="AB17" i="49"/>
  <c r="Z17" i="49"/>
  <c r="AA17" i="49"/>
  <c r="Y18" i="49"/>
  <c r="AB18" i="49"/>
  <c r="AA18" i="49"/>
  <c r="Z18" i="49"/>
  <c r="Y19" i="49"/>
  <c r="AB19" i="49"/>
  <c r="AA19" i="49"/>
  <c r="Z19" i="49"/>
  <c r="Y20" i="49"/>
  <c r="Y22" i="49"/>
  <c r="AB20" i="49"/>
  <c r="Z20" i="49"/>
  <c r="AA20" i="49"/>
  <c r="Y23" i="49"/>
  <c r="AA22" i="49"/>
  <c r="AB22" i="49"/>
  <c r="Z22" i="49"/>
  <c r="Z23" i="49"/>
  <c r="AA23" i="49"/>
  <c r="AB23" i="49"/>
  <c r="Y24" i="49"/>
  <c r="AB24" i="49"/>
  <c r="Z24" i="49"/>
  <c r="Y25" i="49"/>
  <c r="AA24" i="49"/>
  <c r="Y26" i="49"/>
  <c r="AB25" i="49"/>
  <c r="Z25" i="49"/>
  <c r="AA25" i="49"/>
  <c r="AA26" i="49"/>
  <c r="Y28" i="49"/>
  <c r="AB26" i="49"/>
  <c r="Z26" i="49"/>
  <c r="Z28" i="49"/>
  <c r="AA28" i="49"/>
  <c r="AB28" i="49"/>
  <c r="Y29" i="49"/>
  <c r="AB29" i="49"/>
  <c r="Z29" i="49"/>
  <c r="AA29" i="49"/>
  <c r="Y30" i="49"/>
  <c r="Z30" i="49"/>
  <c r="AA30" i="49"/>
  <c r="AB30" i="49"/>
  <c r="Y31" i="49"/>
  <c r="Y32" i="49"/>
  <c r="AA31" i="49"/>
  <c r="AB31" i="49"/>
  <c r="Z31" i="49"/>
  <c r="AA32" i="49"/>
  <c r="Z32" i="49"/>
  <c r="Y33" i="49"/>
  <c r="AB32" i="49"/>
  <c r="AB33" i="49"/>
  <c r="Z33" i="49"/>
  <c r="AA33" i="49"/>
  <c r="Y10" i="48"/>
  <c r="Z10" i="48"/>
  <c r="AB10" i="48"/>
  <c r="AA10" i="48"/>
  <c r="Y11" i="48"/>
  <c r="AB11" i="48"/>
  <c r="Z11" i="48"/>
  <c r="Y12" i="48"/>
  <c r="AA11" i="48"/>
  <c r="AB12" i="48"/>
  <c r="Y13" i="48"/>
  <c r="Z12" i="48"/>
  <c r="AA12" i="48"/>
  <c r="Z13" i="48"/>
  <c r="AB13" i="48"/>
  <c r="AA13" i="48"/>
  <c r="Y14" i="48"/>
  <c r="Z14" i="48"/>
  <c r="AB14" i="48"/>
  <c r="AA14" i="48"/>
  <c r="Y16" i="48"/>
  <c r="Y17" i="48"/>
  <c r="AA16" i="48"/>
  <c r="AB16" i="48"/>
  <c r="Z16" i="48"/>
  <c r="AA17" i="48"/>
  <c r="Z17" i="48"/>
  <c r="AB17" i="48"/>
  <c r="Y18" i="48"/>
  <c r="Z18" i="48"/>
  <c r="AB18" i="48"/>
  <c r="AA18" i="48"/>
  <c r="Y19" i="48"/>
  <c r="AA19" i="48"/>
  <c r="Z19" i="48"/>
  <c r="AB19" i="48"/>
  <c r="Y20" i="48"/>
  <c r="AB20" i="48"/>
  <c r="Z20" i="48"/>
  <c r="Y22" i="48"/>
  <c r="AA20" i="48"/>
  <c r="Z22" i="48"/>
  <c r="AA22" i="48"/>
  <c r="AB22" i="48"/>
  <c r="Y23" i="48"/>
  <c r="Z23" i="48"/>
  <c r="AB23" i="48"/>
  <c r="AA23" i="48"/>
  <c r="Y24" i="48"/>
  <c r="Z24" i="48"/>
  <c r="AA24" i="48"/>
  <c r="AB24" i="48"/>
  <c r="Y25" i="48"/>
  <c r="Y26" i="48"/>
  <c r="AA25" i="48"/>
  <c r="AB25" i="48"/>
  <c r="Z25" i="48"/>
  <c r="AA26" i="48"/>
  <c r="Y28" i="48"/>
  <c r="AB26" i="48"/>
  <c r="Z26" i="48"/>
  <c r="Z28" i="48"/>
  <c r="AB28" i="48"/>
  <c r="AA28" i="48"/>
  <c r="Y29" i="48"/>
  <c r="Y30" i="48"/>
  <c r="AB29" i="48"/>
  <c r="Z29" i="48"/>
  <c r="AA29" i="48"/>
  <c r="Y31" i="48"/>
  <c r="AA30" i="48"/>
  <c r="AB30" i="48"/>
  <c r="Z30" i="48"/>
  <c r="Z31" i="48"/>
  <c r="AB31" i="48"/>
  <c r="AA31" i="48"/>
  <c r="Y32" i="48"/>
  <c r="Y33" i="48"/>
  <c r="AB32" i="48"/>
  <c r="Z32" i="48"/>
  <c r="AA32" i="48"/>
  <c r="Z33" i="48"/>
  <c r="AA33" i="48"/>
  <c r="AB33" i="48"/>
  <c r="Y10" i="47"/>
  <c r="AA10" i="47"/>
  <c r="Y11" i="47"/>
  <c r="Z10" i="47"/>
  <c r="AB10" i="47"/>
  <c r="AB11" i="47"/>
  <c r="AA11" i="47"/>
  <c r="Z11" i="47"/>
  <c r="Y12" i="47"/>
  <c r="Z12" i="47"/>
  <c r="Y13" i="47"/>
  <c r="AA12" i="47"/>
  <c r="AB12" i="47"/>
  <c r="AA13" i="47"/>
  <c r="Z13" i="47"/>
  <c r="Y14" i="47"/>
  <c r="AB13" i="47"/>
  <c r="Z14" i="47"/>
  <c r="AB14" i="47"/>
  <c r="AA14" i="47"/>
  <c r="Y16" i="47"/>
  <c r="Z16" i="47"/>
  <c r="AA16" i="47"/>
  <c r="AB16" i="47"/>
  <c r="Y17" i="47"/>
  <c r="AA17" i="47"/>
  <c r="Z17" i="47"/>
  <c r="AB17" i="47"/>
  <c r="Y18" i="47"/>
  <c r="Z18" i="47"/>
  <c r="AA18" i="47"/>
  <c r="AB18" i="47"/>
  <c r="Y19" i="47"/>
  <c r="AB19" i="47"/>
  <c r="AA19" i="47"/>
  <c r="Z19" i="47"/>
  <c r="Y20" i="47"/>
  <c r="AB20" i="47"/>
  <c r="AA20" i="47"/>
  <c r="Z20" i="47"/>
  <c r="Y22" i="47"/>
  <c r="AA22" i="47"/>
  <c r="AB22" i="47"/>
  <c r="Z22" i="47"/>
  <c r="Y23" i="47"/>
  <c r="Z23" i="47"/>
  <c r="AA23" i="47"/>
  <c r="AB23" i="47"/>
  <c r="Y24" i="47"/>
  <c r="AA24" i="47"/>
  <c r="AB24" i="47"/>
  <c r="Z24" i="47"/>
  <c r="Y25" i="47"/>
  <c r="AB25" i="47"/>
  <c r="AA25" i="47"/>
  <c r="Z25" i="47"/>
  <c r="Y26" i="47"/>
  <c r="Z26" i="47"/>
  <c r="AB26" i="47"/>
  <c r="AA26" i="47"/>
  <c r="Y28" i="47"/>
  <c r="Z28" i="47"/>
  <c r="AA28" i="47"/>
  <c r="AB28" i="47"/>
  <c r="Y29" i="47"/>
  <c r="AA29" i="47"/>
  <c r="AB29" i="47"/>
  <c r="Z29" i="47"/>
  <c r="Y30" i="47"/>
  <c r="AB30" i="47"/>
  <c r="AA30" i="47"/>
  <c r="Z30" i="47"/>
  <c r="Y31" i="47"/>
  <c r="AA31" i="47"/>
  <c r="Y32" i="47"/>
  <c r="Z31" i="47"/>
  <c r="AB31" i="47"/>
  <c r="Y33" i="47"/>
  <c r="Z32" i="47"/>
  <c r="AA32" i="47"/>
  <c r="AB32" i="47"/>
  <c r="AB33" i="47"/>
  <c r="AA33" i="47"/>
  <c r="Z33" i="47"/>
  <c r="Y10" i="46"/>
  <c r="AA10" i="46"/>
  <c r="AB10" i="46"/>
  <c r="Z10" i="46"/>
  <c r="Y11" i="46"/>
  <c r="AB11" i="46"/>
  <c r="Z11" i="46"/>
  <c r="Y12" i="46"/>
  <c r="AA11" i="46"/>
  <c r="AA12" i="46"/>
  <c r="Y13" i="46"/>
  <c r="AB12" i="46"/>
  <c r="Z12" i="46"/>
  <c r="AB13" i="46"/>
  <c r="Z13" i="46"/>
  <c r="Y14" i="46"/>
  <c r="AA13" i="46"/>
  <c r="Z14" i="46"/>
  <c r="AB14" i="46"/>
  <c r="AA14" i="46"/>
  <c r="Y16" i="46"/>
  <c r="AB16" i="46"/>
  <c r="AA16" i="46"/>
  <c r="Y17" i="46"/>
  <c r="Z16" i="46"/>
  <c r="AB17" i="46"/>
  <c r="AA17" i="46"/>
  <c r="Z17" i="46"/>
  <c r="Y18" i="46"/>
  <c r="AB18" i="46"/>
  <c r="Z18" i="46"/>
  <c r="AA18" i="46"/>
  <c r="Y19" i="46"/>
  <c r="AB19" i="46"/>
  <c r="Z19" i="46"/>
  <c r="AA19" i="46"/>
  <c r="Y20" i="46"/>
  <c r="AB20" i="46"/>
  <c r="Z20" i="46"/>
  <c r="Y22" i="46"/>
  <c r="AA20" i="46"/>
  <c r="Z22" i="46"/>
  <c r="AA22" i="46"/>
  <c r="AB22" i="46"/>
  <c r="Y23" i="46"/>
  <c r="Y24" i="46"/>
  <c r="AA23" i="46"/>
  <c r="AB23" i="46"/>
  <c r="Z23" i="46"/>
  <c r="Z24" i="46"/>
  <c r="AB24" i="46"/>
  <c r="AA24" i="46"/>
  <c r="Y25" i="46"/>
  <c r="AB25" i="46"/>
  <c r="Z25" i="46"/>
  <c r="AA25" i="46"/>
  <c r="Y26" i="46"/>
  <c r="Y28" i="46"/>
  <c r="AA26" i="46"/>
  <c r="Z26" i="46"/>
  <c r="AB26" i="46"/>
  <c r="Z28" i="46"/>
  <c r="AA28" i="46"/>
  <c r="AB28" i="46"/>
  <c r="Y29" i="46"/>
  <c r="Z29" i="46"/>
  <c r="AA29" i="46"/>
  <c r="AB29" i="46"/>
  <c r="Y30" i="46"/>
  <c r="Z30" i="46"/>
  <c r="AB30" i="46"/>
  <c r="AA30" i="46"/>
  <c r="Y31" i="46"/>
  <c r="AB31" i="46"/>
  <c r="AA31" i="46"/>
  <c r="Y32" i="46"/>
  <c r="Z31" i="46"/>
  <c r="AB32" i="46"/>
  <c r="Y33" i="46"/>
  <c r="AA32" i="46"/>
  <c r="Z32" i="46"/>
  <c r="Z33" i="46"/>
  <c r="AB33" i="46"/>
  <c r="AA33" i="46"/>
  <c r="Y10" i="45"/>
  <c r="AB10" i="45"/>
  <c r="AA10" i="45"/>
  <c r="Y11" i="45"/>
  <c r="Z10" i="45"/>
  <c r="AB11" i="45"/>
  <c r="AA11" i="45"/>
  <c r="Z11" i="45"/>
  <c r="Y12" i="45"/>
  <c r="AB12" i="45"/>
  <c r="Y13" i="45"/>
  <c r="Z12" i="45"/>
  <c r="AA12" i="45"/>
  <c r="Z13" i="45"/>
  <c r="AA13" i="45"/>
  <c r="AB13" i="45"/>
  <c r="Y14" i="45"/>
  <c r="Z14" i="45"/>
  <c r="AA14" i="45"/>
  <c r="Y16" i="45"/>
  <c r="AB14" i="45"/>
  <c r="Y17" i="45"/>
  <c r="AA16" i="45"/>
  <c r="AB16" i="45"/>
  <c r="Z16" i="45"/>
  <c r="AA17" i="45"/>
  <c r="Z17" i="45"/>
  <c r="Y18" i="45"/>
  <c r="AB17" i="45"/>
  <c r="Z18" i="45"/>
  <c r="Y19" i="45"/>
  <c r="AA18" i="45"/>
  <c r="AB18" i="45"/>
  <c r="AA19" i="45"/>
  <c r="Z19" i="45"/>
  <c r="AB19" i="45"/>
  <c r="Y20" i="45"/>
  <c r="Y22" i="45"/>
  <c r="Z20" i="45"/>
  <c r="AB20" i="45"/>
  <c r="AA20" i="45"/>
  <c r="Z22" i="45"/>
  <c r="AA22" i="45"/>
  <c r="AB22" i="45"/>
  <c r="Y23" i="45"/>
  <c r="Y24" i="45"/>
  <c r="Z23" i="45"/>
  <c r="AB23" i="45"/>
  <c r="AA23" i="45"/>
  <c r="AB24" i="45"/>
  <c r="AA24" i="45"/>
  <c r="Y25" i="45"/>
  <c r="Z24" i="45"/>
  <c r="AB25" i="45"/>
  <c r="AA25" i="45"/>
  <c r="Z25" i="45"/>
  <c r="Y26" i="45"/>
  <c r="Z26" i="45"/>
  <c r="AA26" i="45"/>
  <c r="AB26" i="45"/>
  <c r="Y28" i="45"/>
  <c r="Z28" i="45"/>
  <c r="AB28" i="45"/>
  <c r="AA28" i="45"/>
  <c r="Y29" i="45"/>
  <c r="AA29" i="45"/>
  <c r="Z29" i="45"/>
  <c r="AB29" i="45"/>
  <c r="Y30" i="45"/>
  <c r="Z30" i="45"/>
  <c r="Y31" i="45"/>
  <c r="AA30" i="45"/>
  <c r="AB30" i="45"/>
  <c r="AA31" i="45"/>
  <c r="Z31" i="45"/>
  <c r="AB31" i="45"/>
  <c r="Y32" i="45"/>
  <c r="Y33" i="45"/>
  <c r="AA32" i="45"/>
  <c r="Z32" i="45"/>
  <c r="AB32" i="45"/>
  <c r="AB33" i="45"/>
  <c r="AA33" i="45"/>
  <c r="Z33" i="45"/>
  <c r="Y10" i="44"/>
  <c r="AB10" i="44"/>
  <c r="Z10" i="44"/>
  <c r="AA10" i="44"/>
  <c r="Y11" i="44"/>
  <c r="Z11" i="44"/>
  <c r="Y12" i="44"/>
  <c r="AB11" i="44"/>
  <c r="AA11" i="44"/>
  <c r="AA12" i="44"/>
  <c r="Y13" i="44"/>
  <c r="AB12" i="44"/>
  <c r="Z12" i="44"/>
  <c r="AA13" i="44"/>
  <c r="AB13" i="44"/>
  <c r="Z13" i="44"/>
  <c r="Y14" i="44"/>
  <c r="AB14" i="44"/>
  <c r="AA14" i="44"/>
  <c r="Y16" i="44"/>
  <c r="Z14" i="44"/>
  <c r="Z16" i="44"/>
  <c r="AB16" i="44"/>
  <c r="AA16" i="44"/>
  <c r="Y17" i="44"/>
  <c r="AB17" i="44"/>
  <c r="Y18" i="44"/>
  <c r="Z17" i="44"/>
  <c r="AA17" i="44"/>
  <c r="Z18" i="44"/>
  <c r="AB18" i="44"/>
  <c r="AA18" i="44"/>
  <c r="Y19" i="44"/>
  <c r="Z19" i="44"/>
  <c r="AB19" i="44"/>
  <c r="AA19" i="44"/>
  <c r="Y20" i="44"/>
  <c r="Z20" i="44"/>
  <c r="AB20" i="44"/>
  <c r="AA20" i="44"/>
  <c r="Y22" i="44"/>
  <c r="AA22" i="44"/>
  <c r="Z22" i="44"/>
  <c r="AB22" i="44"/>
  <c r="Y23" i="44"/>
  <c r="Z23" i="44"/>
  <c r="Y24" i="44"/>
  <c r="AA23" i="44"/>
  <c r="AB23" i="44"/>
  <c r="AA24" i="44"/>
  <c r="Z24" i="44"/>
  <c r="AB24" i="44"/>
  <c r="Y25" i="44"/>
  <c r="Z25" i="44"/>
  <c r="Y26" i="44"/>
  <c r="AA25" i="44"/>
  <c r="AB25" i="44"/>
  <c r="AA26" i="44"/>
  <c r="Z26" i="44"/>
  <c r="AB26" i="44"/>
  <c r="Y28" i="44"/>
  <c r="Z28" i="44"/>
  <c r="Y29" i="44"/>
  <c r="AA28" i="44"/>
  <c r="AB28" i="44"/>
  <c r="AA29" i="44"/>
  <c r="Z29" i="44"/>
  <c r="AB29" i="44"/>
  <c r="Y30" i="44"/>
  <c r="Z30" i="44"/>
  <c r="Y31" i="44"/>
  <c r="AA30" i="44"/>
  <c r="AB30" i="44"/>
  <c r="AA31" i="44"/>
  <c r="Z31" i="44"/>
  <c r="AB31" i="44"/>
  <c r="Y32" i="44"/>
  <c r="Y33" i="44"/>
  <c r="AA32" i="44"/>
  <c r="Z32" i="44"/>
  <c r="AB32" i="44"/>
  <c r="Z33" i="44"/>
  <c r="AA33" i="44"/>
  <c r="AB33" i="44"/>
  <c r="Y10" i="43"/>
  <c r="AA10" i="43"/>
  <c r="Y11" i="43"/>
  <c r="Z10" i="43"/>
  <c r="AB10" i="43"/>
  <c r="AA11" i="43"/>
  <c r="AB11" i="43"/>
  <c r="Z11" i="43"/>
  <c r="Y12" i="43"/>
  <c r="Z12" i="43"/>
  <c r="Y13" i="43"/>
  <c r="AB12" i="43"/>
  <c r="AA12" i="43"/>
  <c r="AB13" i="43"/>
  <c r="Z13" i="43"/>
  <c r="AA13" i="43"/>
  <c r="Y14" i="43"/>
  <c r="AA14" i="43"/>
  <c r="Z14" i="43"/>
  <c r="AB14" i="43"/>
  <c r="Y16" i="43"/>
  <c r="Z16" i="43"/>
  <c r="AA16" i="43"/>
  <c r="AB16" i="43"/>
  <c r="Y17" i="43"/>
  <c r="AA17" i="43"/>
  <c r="Z17" i="43"/>
  <c r="AB17" i="43"/>
  <c r="Y18" i="43"/>
  <c r="AA18" i="43"/>
  <c r="Z18" i="43"/>
  <c r="AB18" i="43"/>
  <c r="Y19" i="43"/>
  <c r="AB19" i="43"/>
  <c r="Z19" i="43"/>
  <c r="AA19" i="43"/>
  <c r="Y20" i="43"/>
  <c r="AB20" i="43"/>
  <c r="AA20" i="43"/>
  <c r="Z20" i="43"/>
  <c r="Y22" i="43"/>
  <c r="AB22" i="43"/>
  <c r="Z22" i="43"/>
  <c r="AA22" i="43"/>
  <c r="Y23" i="43"/>
  <c r="Z23" i="43"/>
  <c r="AA23" i="43"/>
  <c r="AB23" i="43"/>
  <c r="Y24" i="43"/>
  <c r="AB24" i="43"/>
  <c r="Z24" i="43"/>
  <c r="AA24" i="43"/>
  <c r="Y25" i="43"/>
  <c r="AB25" i="43"/>
  <c r="Y26" i="43"/>
  <c r="AA25" i="43"/>
  <c r="Z25" i="43"/>
  <c r="AA26" i="43"/>
  <c r="Z26" i="43"/>
  <c r="AB26" i="43"/>
  <c r="Y28" i="43"/>
  <c r="AA28" i="43"/>
  <c r="AB28" i="43"/>
  <c r="Z28" i="43"/>
  <c r="Y29" i="43"/>
  <c r="Y30" i="43"/>
  <c r="AA29" i="43"/>
  <c r="AB29" i="43"/>
  <c r="Z29" i="43"/>
  <c r="AB30" i="43"/>
  <c r="AA30" i="43"/>
  <c r="Z30" i="43"/>
  <c r="Y31" i="43"/>
  <c r="AA31" i="43"/>
  <c r="Y32" i="43"/>
  <c r="Z31" i="43"/>
  <c r="AB31" i="43"/>
  <c r="Y33" i="43"/>
  <c r="Z32" i="43"/>
  <c r="AA32" i="43"/>
  <c r="AB32" i="43"/>
  <c r="Z33" i="43"/>
  <c r="AB33" i="43"/>
  <c r="AA33" i="43"/>
  <c r="I14" i="41" l="1"/>
  <c r="H29" i="41"/>
  <c r="J29" i="41" s="1"/>
  <c r="S31" i="40"/>
  <c r="R22" i="40"/>
  <c r="S22" i="40" s="1"/>
  <c r="J16" i="40"/>
  <c r="J33" i="40" s="1"/>
  <c r="I26" i="41"/>
  <c r="K26" i="41" s="1"/>
  <c r="R26" i="41" s="1"/>
  <c r="S26" i="41" s="1"/>
  <c r="J28" i="41"/>
  <c r="I28" i="41"/>
  <c r="K28" i="41" s="1"/>
  <c r="K32" i="41"/>
  <c r="R32" i="41"/>
  <c r="S32" i="41" s="1"/>
  <c r="K16" i="41"/>
  <c r="R17" i="41"/>
  <c r="S17" i="41" s="1"/>
  <c r="R16" i="41"/>
  <c r="S16" i="41"/>
  <c r="U16" i="41" s="1"/>
  <c r="J14" i="41"/>
  <c r="N34" i="41"/>
  <c r="U17" i="41"/>
  <c r="W17" i="41"/>
  <c r="V17" i="41"/>
  <c r="X17" i="41"/>
  <c r="O34" i="41"/>
  <c r="I10" i="38"/>
  <c r="W31" i="37"/>
  <c r="X31" i="37"/>
  <c r="V32" i="37"/>
  <c r="U32" i="37"/>
  <c r="W32" i="37"/>
  <c r="U26" i="37"/>
  <c r="V26" i="37"/>
  <c r="V23" i="37"/>
  <c r="R24" i="37"/>
  <c r="W23" i="37"/>
  <c r="W24" i="37"/>
  <c r="X23" i="37"/>
  <c r="V24" i="37"/>
  <c r="U24" i="37"/>
  <c r="N34" i="37"/>
  <c r="K17" i="37"/>
  <c r="R17" i="37" s="1"/>
  <c r="S17" i="37" s="1"/>
  <c r="W17" i="37" s="1"/>
  <c r="R22" i="37"/>
  <c r="S22" i="37" s="1"/>
  <c r="V20" i="37"/>
  <c r="W20" i="37"/>
  <c r="X20" i="37"/>
  <c r="U20" i="37"/>
  <c r="R19" i="37"/>
  <c r="S19" i="37" s="1"/>
  <c r="I18" i="37"/>
  <c r="J18" i="37"/>
  <c r="J33" i="37" s="1"/>
  <c r="S16" i="37"/>
  <c r="O34" i="37"/>
  <c r="U3" i="38"/>
  <c r="A10" i="38" s="1"/>
  <c r="A11" i="38" s="1"/>
  <c r="A12" i="38" s="1"/>
  <c r="A13" i="38" s="1"/>
  <c r="A14" i="38" s="1"/>
  <c r="A16" i="38" s="1"/>
  <c r="A17" i="38" s="1"/>
  <c r="A18" i="38" s="1"/>
  <c r="A19" i="38" s="1"/>
  <c r="A20" i="38" s="1"/>
  <c r="A22" i="38" s="1"/>
  <c r="A23" i="38" s="1"/>
  <c r="A24" i="38" s="1"/>
  <c r="A25" i="38" s="1"/>
  <c r="A26" i="38" s="1"/>
  <c r="A28" i="38" s="1"/>
  <c r="A29" i="38" s="1"/>
  <c r="A30" i="38" s="1"/>
  <c r="A31" i="38" s="1"/>
  <c r="A32" i="38" s="1"/>
  <c r="Z3" i="37"/>
  <c r="I29" i="41" l="1"/>
  <c r="J30" i="41"/>
  <c r="J33" i="41" s="1"/>
  <c r="I30" i="41"/>
  <c r="W31" i="40"/>
  <c r="U31" i="40"/>
  <c r="X31" i="40"/>
  <c r="V31" i="40"/>
  <c r="V22" i="40"/>
  <c r="W22" i="40"/>
  <c r="U22" i="40"/>
  <c r="X22" i="40"/>
  <c r="K16" i="40"/>
  <c r="I33" i="40"/>
  <c r="V26" i="41"/>
  <c r="U26" i="41"/>
  <c r="X26" i="41"/>
  <c r="W26" i="41"/>
  <c r="R28" i="41"/>
  <c r="S28" i="41" s="1"/>
  <c r="W32" i="41"/>
  <c r="X32" i="41"/>
  <c r="U32" i="41"/>
  <c r="V32" i="41"/>
  <c r="V16" i="41"/>
  <c r="X16" i="41"/>
  <c r="W16" i="41"/>
  <c r="K14" i="41"/>
  <c r="R14" i="41" s="1"/>
  <c r="S14" i="41" s="1"/>
  <c r="I33" i="38"/>
  <c r="K10" i="38"/>
  <c r="W22" i="37"/>
  <c r="U22" i="37"/>
  <c r="X22" i="37"/>
  <c r="V22" i="37"/>
  <c r="V19" i="37"/>
  <c r="W19" i="37"/>
  <c r="U19" i="37"/>
  <c r="X19" i="37"/>
  <c r="K18" i="37"/>
  <c r="I33" i="37"/>
  <c r="U17" i="37"/>
  <c r="V17" i="37"/>
  <c r="X17" i="37"/>
  <c r="U16" i="37"/>
  <c r="Y16" i="37"/>
  <c r="V16" i="37"/>
  <c r="X16" i="37"/>
  <c r="W16" i="37"/>
  <c r="Z3" i="38"/>
  <c r="U3" i="39"/>
  <c r="A10" i="39" s="1"/>
  <c r="A11" i="39" s="1"/>
  <c r="A12" i="39" s="1"/>
  <c r="A13" i="39" s="1"/>
  <c r="A14" i="39" s="1"/>
  <c r="A16" i="39" s="1"/>
  <c r="A17" i="39" s="1"/>
  <c r="A18" i="39" s="1"/>
  <c r="A19" i="39" s="1"/>
  <c r="A20" i="39" s="1"/>
  <c r="A22" i="39" s="1"/>
  <c r="A23" i="39" s="1"/>
  <c r="A24" i="39" s="1"/>
  <c r="A25" i="39" s="1"/>
  <c r="A26" i="39" s="1"/>
  <c r="A28" i="39" s="1"/>
  <c r="A29" i="39" s="1"/>
  <c r="A30" i="39" s="1"/>
  <c r="A31" i="39" s="1"/>
  <c r="A32" i="39" s="1"/>
  <c r="I33" i="41" l="1"/>
  <c r="K29" i="41"/>
  <c r="R29" i="41" s="1"/>
  <c r="S29" i="41" s="1"/>
  <c r="X29" i="41" s="1"/>
  <c r="K30" i="41"/>
  <c r="R30" i="41" s="1"/>
  <c r="S30" i="41" s="1"/>
  <c r="R16" i="40"/>
  <c r="S16" i="40" s="1"/>
  <c r="V29" i="41"/>
  <c r="V28" i="41"/>
  <c r="W28" i="41"/>
  <c r="U28" i="41"/>
  <c r="X28" i="41"/>
  <c r="U14" i="41"/>
  <c r="V14" i="41"/>
  <c r="Y14" i="41"/>
  <c r="W14" i="41"/>
  <c r="X14" i="41"/>
  <c r="R10" i="38"/>
  <c r="S10" i="38"/>
  <c r="S18" i="37"/>
  <c r="R18" i="37"/>
  <c r="AB16" i="37"/>
  <c r="Y17" i="37"/>
  <c r="AA16" i="37"/>
  <c r="Z16" i="37"/>
  <c r="U3" i="40"/>
  <c r="A10" i="40" s="1"/>
  <c r="A11" i="40" s="1"/>
  <c r="A12" i="40" s="1"/>
  <c r="A13" i="40" s="1"/>
  <c r="A14" i="40" s="1"/>
  <c r="A16" i="40" s="1"/>
  <c r="A17" i="40" s="1"/>
  <c r="A18" i="40" s="1"/>
  <c r="A19" i="40" s="1"/>
  <c r="A20" i="40" s="1"/>
  <c r="A22" i="40" s="1"/>
  <c r="A23" i="40" s="1"/>
  <c r="A24" i="40" s="1"/>
  <c r="A25" i="40" s="1"/>
  <c r="A26" i="40" s="1"/>
  <c r="A28" i="40" s="1"/>
  <c r="A29" i="40" s="1"/>
  <c r="A30" i="40" s="1"/>
  <c r="A31" i="40" s="1"/>
  <c r="A32" i="40" s="1"/>
  <c r="Z3" i="39"/>
  <c r="W29" i="41" l="1"/>
  <c r="U29" i="41"/>
  <c r="V30" i="41"/>
  <c r="X30" i="41"/>
  <c r="U30" i="41"/>
  <c r="W30" i="41"/>
  <c r="W16" i="40"/>
  <c r="U16" i="40"/>
  <c r="X16" i="40"/>
  <c r="V16" i="40"/>
  <c r="Y16" i="40"/>
  <c r="AB14" i="41"/>
  <c r="AA14" i="41"/>
  <c r="Z14" i="41"/>
  <c r="Y16" i="41"/>
  <c r="X10" i="38"/>
  <c r="Y10" i="38"/>
  <c r="V10" i="38"/>
  <c r="U10" i="38"/>
  <c r="W10" i="38"/>
  <c r="V18" i="37"/>
  <c r="X18" i="37"/>
  <c r="U18" i="37"/>
  <c r="W18" i="37"/>
  <c r="AA17" i="37"/>
  <c r="Y18" i="37"/>
  <c r="Z17" i="37"/>
  <c r="AB17" i="37"/>
  <c r="U3" i="41"/>
  <c r="A10" i="41" s="1"/>
  <c r="A11" i="41" s="1"/>
  <c r="A12" i="41" s="1"/>
  <c r="A13" i="41" s="1"/>
  <c r="A14" i="41" s="1"/>
  <c r="A16" i="41" s="1"/>
  <c r="A17" i="41" s="1"/>
  <c r="A18" i="41" s="1"/>
  <c r="A19" i="41" s="1"/>
  <c r="A20" i="41" s="1"/>
  <c r="A22" i="41" s="1"/>
  <c r="A23" i="41" s="1"/>
  <c r="A24" i="41" s="1"/>
  <c r="A25" i="41" s="1"/>
  <c r="A26" i="41" s="1"/>
  <c r="A28" i="41" s="1"/>
  <c r="A29" i="41" s="1"/>
  <c r="A30" i="41" s="1"/>
  <c r="A31" i="41" s="1"/>
  <c r="A32" i="41" s="1"/>
  <c r="Z3" i="40"/>
  <c r="Y17" i="40" l="1"/>
  <c r="Z16" i="40"/>
  <c r="AB16" i="40"/>
  <c r="AA16" i="40"/>
  <c r="AB16" i="41"/>
  <c r="Y17" i="41"/>
  <c r="Z16" i="41"/>
  <c r="AA16" i="41"/>
  <c r="Z10" i="38"/>
  <c r="Y11" i="38"/>
  <c r="AA10" i="38"/>
  <c r="AB10" i="38"/>
  <c r="AB18" i="37"/>
  <c r="Z18" i="37"/>
  <c r="AA18" i="37"/>
  <c r="Y19" i="37"/>
  <c r="U3" i="42"/>
  <c r="A10" i="42" s="1"/>
  <c r="A11" i="42" s="1"/>
  <c r="A12" i="42" s="1"/>
  <c r="A13" i="42" s="1"/>
  <c r="A14" i="42" s="1"/>
  <c r="A16" i="42" s="1"/>
  <c r="A17" i="42" s="1"/>
  <c r="A18" i="42" s="1"/>
  <c r="A19" i="42" s="1"/>
  <c r="A20" i="42" s="1"/>
  <c r="A22" i="42" s="1"/>
  <c r="A23" i="42" s="1"/>
  <c r="A24" i="42" s="1"/>
  <c r="A25" i="42" s="1"/>
  <c r="A26" i="42" s="1"/>
  <c r="A28" i="42" s="1"/>
  <c r="A29" i="42" s="1"/>
  <c r="A30" i="42" s="1"/>
  <c r="A31" i="42" s="1"/>
  <c r="A32" i="42" s="1"/>
  <c r="Z3" i="41"/>
  <c r="Z17" i="40" l="1"/>
  <c r="AA17" i="40"/>
  <c r="AB17" i="40"/>
  <c r="Y18" i="40"/>
  <c r="Z17" i="41"/>
  <c r="Y18" i="41"/>
  <c r="AA17" i="41"/>
  <c r="AB17" i="41"/>
  <c r="AA11" i="38"/>
  <c r="Y12" i="38"/>
  <c r="Z11" i="38"/>
  <c r="AB11" i="38"/>
  <c r="AB19" i="37"/>
  <c r="Y20" i="37"/>
  <c r="Z19" i="37"/>
  <c r="AA19" i="37"/>
  <c r="Z3" i="42"/>
  <c r="U3" i="49"/>
  <c r="A10" i="49" s="1"/>
  <c r="A11" i="49" s="1"/>
  <c r="A12" i="49" s="1"/>
  <c r="A13" i="49" s="1"/>
  <c r="A14" i="49" s="1"/>
  <c r="A16" i="49" s="1"/>
  <c r="A17" i="49" s="1"/>
  <c r="A18" i="49" s="1"/>
  <c r="A19" i="49" s="1"/>
  <c r="A20" i="49" s="1"/>
  <c r="A22" i="49" s="1"/>
  <c r="A23" i="49" s="1"/>
  <c r="A24" i="49" s="1"/>
  <c r="A25" i="49" s="1"/>
  <c r="A26" i="49" s="1"/>
  <c r="A28" i="49" s="1"/>
  <c r="A29" i="49" s="1"/>
  <c r="A30" i="49" s="1"/>
  <c r="A31" i="49" s="1"/>
  <c r="A32" i="49" s="1"/>
  <c r="Y19" i="40" l="1"/>
  <c r="AB18" i="40"/>
  <c r="Z18" i="40"/>
  <c r="AA18" i="40"/>
  <c r="AA18" i="41"/>
  <c r="Z18" i="41"/>
  <c r="Y19" i="41"/>
  <c r="AB18" i="41"/>
  <c r="AB12" i="38"/>
  <c r="Y13" i="38"/>
  <c r="AA12" i="38"/>
  <c r="Z12" i="38"/>
  <c r="AA20" i="37"/>
  <c r="Z20" i="37"/>
  <c r="Y22" i="37"/>
  <c r="AB20" i="37"/>
  <c r="U3" i="48"/>
  <c r="A10" i="48" s="1"/>
  <c r="A11" i="48" s="1"/>
  <c r="A12" i="48" s="1"/>
  <c r="A13" i="48" s="1"/>
  <c r="A14" i="48" s="1"/>
  <c r="A16" i="48" s="1"/>
  <c r="A17" i="48" s="1"/>
  <c r="A18" i="48" s="1"/>
  <c r="A19" i="48" s="1"/>
  <c r="A20" i="48" s="1"/>
  <c r="A22" i="48" s="1"/>
  <c r="A23" i="48" s="1"/>
  <c r="A24" i="48" s="1"/>
  <c r="A25" i="48" s="1"/>
  <c r="A26" i="48" s="1"/>
  <c r="A28" i="48" s="1"/>
  <c r="A29" i="48" s="1"/>
  <c r="A30" i="48" s="1"/>
  <c r="A31" i="48" s="1"/>
  <c r="A32" i="48" s="1"/>
  <c r="Z3" i="49"/>
  <c r="AB19" i="40" l="1"/>
  <c r="Y20" i="40"/>
  <c r="AA19" i="40"/>
  <c r="Z19" i="40"/>
  <c r="Z19" i="41"/>
  <c r="Y20" i="41"/>
  <c r="AA19" i="41"/>
  <c r="AB19" i="41"/>
  <c r="Y14" i="38"/>
  <c r="AA13" i="38"/>
  <c r="AB13" i="38"/>
  <c r="Z13" i="38"/>
  <c r="Z22" i="37"/>
  <c r="AB22" i="37"/>
  <c r="AA22" i="37"/>
  <c r="Y23" i="37"/>
  <c r="U3" i="47"/>
  <c r="A10" i="47" s="1"/>
  <c r="A11" i="47" s="1"/>
  <c r="A12" i="47" s="1"/>
  <c r="A13" i="47" s="1"/>
  <c r="A14" i="47" s="1"/>
  <c r="A16" i="47" s="1"/>
  <c r="A17" i="47" s="1"/>
  <c r="A18" i="47" s="1"/>
  <c r="A19" i="47" s="1"/>
  <c r="A20" i="47" s="1"/>
  <c r="A22" i="47" s="1"/>
  <c r="A23" i="47" s="1"/>
  <c r="A24" i="47" s="1"/>
  <c r="A25" i="47" s="1"/>
  <c r="A26" i="47" s="1"/>
  <c r="A28" i="47" s="1"/>
  <c r="A29" i="47" s="1"/>
  <c r="A30" i="47" s="1"/>
  <c r="A31" i="47" s="1"/>
  <c r="A32" i="47" s="1"/>
  <c r="Z3" i="48"/>
  <c r="AA20" i="40" l="1"/>
  <c r="Z20" i="40"/>
  <c r="AB20" i="40"/>
  <c r="Y22" i="40"/>
  <c r="AA20" i="41"/>
  <c r="AB20" i="41"/>
  <c r="Y22" i="41"/>
  <c r="Z20" i="41"/>
  <c r="AB14" i="38"/>
  <c r="AA14" i="38"/>
  <c r="Y16" i="38"/>
  <c r="Z14" i="38"/>
  <c r="Z23" i="37"/>
  <c r="AA23" i="37"/>
  <c r="AB23" i="37"/>
  <c r="Y24" i="37"/>
  <c r="Z3" i="47"/>
  <c r="U3" i="46"/>
  <c r="A10" i="46" s="1"/>
  <c r="A11" i="46" s="1"/>
  <c r="A12" i="46" s="1"/>
  <c r="A13" i="46" s="1"/>
  <c r="A14" i="46" s="1"/>
  <c r="A16" i="46" s="1"/>
  <c r="A17" i="46" s="1"/>
  <c r="A18" i="46" s="1"/>
  <c r="A19" i="46" s="1"/>
  <c r="A20" i="46" s="1"/>
  <c r="A22" i="46" s="1"/>
  <c r="A23" i="46" s="1"/>
  <c r="A24" i="46" s="1"/>
  <c r="A25" i="46" s="1"/>
  <c r="A26" i="46" s="1"/>
  <c r="A28" i="46" s="1"/>
  <c r="A29" i="46" s="1"/>
  <c r="A30" i="46" s="1"/>
  <c r="A31" i="46" s="1"/>
  <c r="A32" i="46" s="1"/>
  <c r="Z22" i="40" l="1"/>
  <c r="AA22" i="40"/>
  <c r="AB22" i="40"/>
  <c r="Y23" i="40"/>
  <c r="AA22" i="41"/>
  <c r="AB22" i="41"/>
  <c r="Z22" i="41"/>
  <c r="Y23" i="41"/>
  <c r="AA16" i="38"/>
  <c r="Z16" i="38"/>
  <c r="Y17" i="38"/>
  <c r="AB16" i="38"/>
  <c r="AA24" i="37"/>
  <c r="AB24" i="37"/>
  <c r="Y25" i="37"/>
  <c r="Z24" i="37"/>
  <c r="U3" i="45"/>
  <c r="A10" i="45" s="1"/>
  <c r="A11" i="45" s="1"/>
  <c r="A12" i="45" s="1"/>
  <c r="A13" i="45" s="1"/>
  <c r="A14" i="45" s="1"/>
  <c r="A16" i="45" s="1"/>
  <c r="A17" i="45" s="1"/>
  <c r="A18" i="45" s="1"/>
  <c r="A19" i="45" s="1"/>
  <c r="A20" i="45" s="1"/>
  <c r="A22" i="45" s="1"/>
  <c r="A23" i="45" s="1"/>
  <c r="A24" i="45" s="1"/>
  <c r="A25" i="45" s="1"/>
  <c r="A26" i="45" s="1"/>
  <c r="A28" i="45" s="1"/>
  <c r="A29" i="45" s="1"/>
  <c r="A30" i="45" s="1"/>
  <c r="A31" i="45" s="1"/>
  <c r="A32" i="45" s="1"/>
  <c r="Z3" i="46"/>
  <c r="AA23" i="40" l="1"/>
  <c r="AB23" i="40"/>
  <c r="Y24" i="40"/>
  <c r="Z23" i="40"/>
  <c r="AB23" i="41"/>
  <c r="Y24" i="41"/>
  <c r="AA23" i="41"/>
  <c r="Z23" i="41"/>
  <c r="Z17" i="38"/>
  <c r="AB17" i="38"/>
  <c r="AA17" i="38"/>
  <c r="Y18" i="38"/>
  <c r="AB25" i="37"/>
  <c r="AA25" i="37"/>
  <c r="Y26" i="37"/>
  <c r="Z25" i="37"/>
  <c r="Z3" i="45"/>
  <c r="U3" i="44"/>
  <c r="A10" i="44" s="1"/>
  <c r="A11" i="44" s="1"/>
  <c r="A12" i="44" s="1"/>
  <c r="A13" i="44" s="1"/>
  <c r="A14" i="44" s="1"/>
  <c r="A16" i="44" s="1"/>
  <c r="A17" i="44" s="1"/>
  <c r="A18" i="44" s="1"/>
  <c r="A19" i="44" s="1"/>
  <c r="A20" i="44" s="1"/>
  <c r="A22" i="44" s="1"/>
  <c r="A23" i="44" s="1"/>
  <c r="A24" i="44" s="1"/>
  <c r="A25" i="44" s="1"/>
  <c r="A26" i="44" s="1"/>
  <c r="A28" i="44" s="1"/>
  <c r="A29" i="44" s="1"/>
  <c r="A30" i="44" s="1"/>
  <c r="A31" i="44" s="1"/>
  <c r="A32" i="44" s="1"/>
  <c r="Z24" i="40" l="1"/>
  <c r="Y25" i="40"/>
  <c r="AA24" i="40"/>
  <c r="AB24" i="40"/>
  <c r="Z24" i="41"/>
  <c r="AB24" i="41"/>
  <c r="Y25" i="41"/>
  <c r="AA24" i="41"/>
  <c r="AB18" i="38"/>
  <c r="Z18" i="38"/>
  <c r="AA18" i="38"/>
  <c r="Y19" i="38"/>
  <c r="AB26" i="37"/>
  <c r="AA26" i="37"/>
  <c r="Z26" i="37"/>
  <c r="Y28" i="37"/>
  <c r="Z3" i="44"/>
  <c r="U3" i="43"/>
  <c r="A10" i="43" s="1"/>
  <c r="A11" i="43" s="1"/>
  <c r="A12" i="43" s="1"/>
  <c r="A13" i="43" s="1"/>
  <c r="A14" i="43" s="1"/>
  <c r="A16" i="43" s="1"/>
  <c r="A17" i="43" s="1"/>
  <c r="A18" i="43" s="1"/>
  <c r="A19" i="43" s="1"/>
  <c r="A20" i="43" s="1"/>
  <c r="A22" i="43" s="1"/>
  <c r="A23" i="43" s="1"/>
  <c r="A24" i="43" s="1"/>
  <c r="A25" i="43" s="1"/>
  <c r="A26" i="43" s="1"/>
  <c r="A28" i="43" s="1"/>
  <c r="A29" i="43" s="1"/>
  <c r="A30" i="43" s="1"/>
  <c r="A31" i="43" s="1"/>
  <c r="A32" i="43" s="1"/>
  <c r="Z3" i="43" s="1"/>
  <c r="AA25" i="40" l="1"/>
  <c r="AB25" i="40"/>
  <c r="Y26" i="40"/>
  <c r="Z25" i="40"/>
  <c r="AB25" i="41"/>
  <c r="Z25" i="41"/>
  <c r="Y26" i="41"/>
  <c r="AA25" i="41"/>
  <c r="AB19" i="38"/>
  <c r="Y20" i="38"/>
  <c r="AA19" i="38"/>
  <c r="Z19" i="38"/>
  <c r="AA28" i="37"/>
  <c r="AB28" i="37"/>
  <c r="Z28" i="37"/>
  <c r="Y29" i="37"/>
  <c r="Y28" i="40" l="1"/>
  <c r="AB26" i="40"/>
  <c r="AA26" i="40"/>
  <c r="Z26" i="40"/>
  <c r="Z26" i="41"/>
  <c r="AB26" i="41"/>
  <c r="Y28" i="41"/>
  <c r="AA26" i="41"/>
  <c r="Y22" i="38"/>
  <c r="Z20" i="38"/>
  <c r="AB20" i="38"/>
  <c r="AA20" i="38"/>
  <c r="Z29" i="37"/>
  <c r="AA29" i="37"/>
  <c r="AB29" i="37"/>
  <c r="Y30" i="37"/>
  <c r="AA28" i="40" l="1"/>
  <c r="AB28" i="40"/>
  <c r="Y29" i="40"/>
  <c r="Z28" i="40"/>
  <c r="Y29" i="41"/>
  <c r="Z28" i="41"/>
  <c r="AA28" i="41"/>
  <c r="AB28" i="41"/>
  <c r="Z22" i="38"/>
  <c r="Y23" i="38"/>
  <c r="AB22" i="38"/>
  <c r="AA22" i="38"/>
  <c r="AA30" i="37"/>
  <c r="AB30" i="37"/>
  <c r="Z30" i="37"/>
  <c r="Y31" i="37"/>
  <c r="Z29" i="40" l="1"/>
  <c r="AA29" i="40"/>
  <c r="AB29" i="40"/>
  <c r="Y30" i="40"/>
  <c r="AA29" i="41"/>
  <c r="Y30" i="41"/>
  <c r="Z29" i="41"/>
  <c r="AB29" i="41"/>
  <c r="Z23" i="38"/>
  <c r="AA23" i="38"/>
  <c r="AB23" i="38"/>
  <c r="Y24" i="38"/>
  <c r="Z31" i="37"/>
  <c r="Y32" i="37"/>
  <c r="AA31" i="37"/>
  <c r="AB31" i="37"/>
  <c r="AA30" i="40" l="1"/>
  <c r="AB30" i="40"/>
  <c r="Y31" i="40"/>
  <c r="Z30" i="40"/>
  <c r="AA30" i="41"/>
  <c r="Z30" i="41"/>
  <c r="AB30" i="41"/>
  <c r="Y31" i="41"/>
  <c r="AB24" i="38"/>
  <c r="Z24" i="38"/>
  <c r="AA24" i="38"/>
  <c r="Y25" i="38"/>
  <c r="Y33" i="37"/>
  <c r="AB32" i="37"/>
  <c r="AA32" i="37"/>
  <c r="Z32" i="37"/>
  <c r="Z31" i="40" l="1"/>
  <c r="AB31" i="40"/>
  <c r="AA31" i="40"/>
  <c r="Y32" i="40"/>
  <c r="AA31" i="41"/>
  <c r="Z31" i="41"/>
  <c r="AB31" i="41"/>
  <c r="Y32" i="41"/>
  <c r="Y26" i="38"/>
  <c r="AB25" i="38"/>
  <c r="AA25" i="38"/>
  <c r="Z25" i="38"/>
  <c r="AB33" i="37"/>
  <c r="Z33" i="37"/>
  <c r="AA33" i="37"/>
  <c r="Z32" i="40" l="1"/>
  <c r="AB32" i="40"/>
  <c r="Y33" i="40"/>
  <c r="AA32" i="40"/>
  <c r="AA32" i="41"/>
  <c r="AB32" i="41"/>
  <c r="Y33" i="41"/>
  <c r="Z32" i="41"/>
  <c r="Z26" i="38"/>
  <c r="AB26" i="38"/>
  <c r="Y28" i="38"/>
  <c r="AA26" i="38"/>
  <c r="AB33" i="40" l="1"/>
  <c r="Z33" i="40"/>
  <c r="AA33" i="40"/>
  <c r="AB33" i="41"/>
  <c r="AA33" i="41"/>
  <c r="Z33" i="41"/>
  <c r="AA28" i="38"/>
  <c r="Z28" i="38"/>
  <c r="Y29" i="38"/>
  <c r="AB28" i="38"/>
  <c r="AB29" i="38" l="1"/>
  <c r="AA29" i="38"/>
  <c r="Y30" i="38"/>
  <c r="Z29" i="38"/>
  <c r="Z30" i="38" l="1"/>
  <c r="AB30" i="38"/>
  <c r="Y31" i="38"/>
  <c r="AA30" i="38"/>
  <c r="Y32" i="38" l="1"/>
  <c r="Z31" i="38"/>
  <c r="AA31" i="38"/>
  <c r="AB31" i="38"/>
  <c r="AB32" i="38" l="1"/>
  <c r="Z32" i="38"/>
  <c r="AA32" i="38"/>
  <c r="Y33" i="38"/>
  <c r="AA33" i="38" l="1"/>
  <c r="AB33" i="38"/>
  <c r="Z33" i="38"/>
</calcChain>
</file>

<file path=xl/sharedStrings.xml><?xml version="1.0" encoding="utf-8"?>
<sst xmlns="http://schemas.openxmlformats.org/spreadsheetml/2006/main" count="1268" uniqueCount="135">
  <si>
    <t>FLEXTIME RECORD</t>
  </si>
  <si>
    <t>NAME :</t>
  </si>
  <si>
    <t xml:space="preserve">DEPT: </t>
  </si>
  <si>
    <t>Period From</t>
  </si>
  <si>
    <t>Standard Working Hours</t>
  </si>
  <si>
    <t xml:space="preserve"> PER DAY</t>
  </si>
  <si>
    <t>HRS</t>
  </si>
  <si>
    <t>MORNING</t>
  </si>
  <si>
    <t>AFTERNOON</t>
  </si>
  <si>
    <t>Leave/Public Holidays</t>
  </si>
  <si>
    <t>cum. mins</t>
  </si>
  <si>
    <t>Cumulative</t>
  </si>
  <si>
    <t>Date</t>
  </si>
  <si>
    <t>Day</t>
  </si>
  <si>
    <t>Start</t>
  </si>
  <si>
    <t>Finish</t>
  </si>
  <si>
    <t>Hours Worked</t>
  </si>
  <si>
    <t>Hr</t>
  </si>
  <si>
    <t>Min</t>
  </si>
  <si>
    <t>total mins</t>
  </si>
  <si>
    <t>Hrs</t>
  </si>
  <si>
    <t>Super Int</t>
  </si>
  <si>
    <t>Mins</t>
  </si>
  <si>
    <t>CR DB</t>
  </si>
  <si>
    <t>Monday</t>
  </si>
  <si>
    <t>Tuesday</t>
  </si>
  <si>
    <t>Wednesday</t>
  </si>
  <si>
    <t>Thursday</t>
  </si>
  <si>
    <t>Friday</t>
  </si>
  <si>
    <t>1. Flex Leave</t>
  </si>
  <si>
    <t>3. Annual Leave</t>
  </si>
  <si>
    <t>4. Long Service Leave</t>
  </si>
  <si>
    <t>10. Leave Without Pay</t>
  </si>
  <si>
    <t>7:00AM - 7:00PM</t>
  </si>
  <si>
    <t xml:space="preserve">Note that cells which contain formulas are locked so that you can't accidently alter them. </t>
  </si>
  <si>
    <t>Mon</t>
  </si>
  <si>
    <t>Tue</t>
  </si>
  <si>
    <t>Wed</t>
  </si>
  <si>
    <t>Thu</t>
  </si>
  <si>
    <t>Fri</t>
  </si>
  <si>
    <t>In each spreadsheet P01 through P13 be sure to blank out the start and end times on the days which you do not work.</t>
  </si>
  <si>
    <t>Type your full name as you want it to appear on every flexitime sheet:</t>
  </si>
  <si>
    <t>This step is optional but will save you typing if you work regular hours.</t>
  </si>
  <si>
    <t>Type your normal starting, lunch, and finishing times into the blue cells.</t>
  </si>
  <si>
    <t>Part-time staff enter the number of HOURS which you work on each day of the week.</t>
  </si>
  <si>
    <t>Enter the number of hours in your standard working day. (Full-time staff leave this at 7).</t>
  </si>
  <si>
    <t>The following are not user modifiable:</t>
  </si>
  <si>
    <t>SETUP</t>
  </si>
  <si>
    <t>STEPS</t>
  </si>
  <si>
    <t>Click on the "setup" tab at the bottom of this Excel window to display the setup worksheet.</t>
  </si>
  <si>
    <t>Use h:mm format and 24 hour time: 1:00pm = 13:00</t>
  </si>
  <si>
    <t>Note: Don't go back and change these times after you've begun using the monthly worksheets.</t>
  </si>
  <si>
    <t>For example, if you work 5.5 hours on Mondays and 7 hours on Tuesdays only, enter 5.5, 7, 0, 0, 0</t>
  </si>
  <si>
    <t>This only needs to be done once at the start of each year, or when you start employment.</t>
  </si>
  <si>
    <t>1) CUSTOMIZE YOUR FLEXITIME SPREADSHEETS BY USING THE SETUP SHEET.</t>
  </si>
  <si>
    <t>Click in one of the tabs P01 through P13 at the bottom of this Excel window to select a four week period to modify.</t>
  </si>
  <si>
    <t>INSTRUCTIONS FOR USING FLEXITIME WORKBOOK</t>
  </si>
  <si>
    <t>Full-time staff are finished setup and can go to worksheet P01. Part-time staff please continue.</t>
  </si>
  <si>
    <t>You can now start using your monthly worksheets by selecting the tabs P01 through P13 at the bottom of this window.</t>
  </si>
  <si>
    <t>Tot Hrs Wked</t>
  </si>
  <si>
    <t>Flex CR</t>
  </si>
  <si>
    <t>Flex DB</t>
  </si>
  <si>
    <t>per
leav</t>
  </si>
  <si>
    <t>Lv
Mins</t>
  </si>
  <si>
    <t>Worked+Lv Mins</t>
  </si>
  <si>
    <t>Diff
Mins</t>
  </si>
  <si>
    <t>Total Hours Worked:</t>
  </si>
  <si>
    <t>Debit/Credit This Period:</t>
  </si>
  <si>
    <t xml:space="preserve">Your start of day time, start of lunch time, end of lunch time, and end of day time.  </t>
  </si>
  <si>
    <t>(a)</t>
  </si>
  <si>
    <t>(b)</t>
  </si>
  <si>
    <t xml:space="preserve">Type* </t>
  </si>
  <si>
    <t>(Refer to the table at bottom of each sheet for Leave Type codes.)</t>
  </si>
  <si>
    <t>1 Wk Hrs</t>
  </si>
  <si>
    <t>4 Wk Hrs</t>
  </si>
  <si>
    <t>Std Hrs:</t>
  </si>
  <si>
    <t>Total
Hours</t>
  </si>
  <si>
    <t>Date of the first Monday of this year's workbook</t>
  </si>
  <si>
    <t>i)</t>
  </si>
  <si>
    <t>ii)</t>
  </si>
  <si>
    <t xml:space="preserve">       DO NOT include any non-Flexi Leave time in your starting and ending times for the day, record only the actual time worked. </t>
  </si>
  <si>
    <t xml:space="preserve">       For example, if you came in 3 hrs late due to sick leave, enter the ACTUAL time when you came in, such as 12:00 </t>
  </si>
  <si>
    <t>(b )</t>
  </si>
  <si>
    <t xml:space="preserve">       Use 24 hour time, for example 1:00pm = 13:00  </t>
  </si>
  <si>
    <t xml:space="preserve">       Note, these times will have the default values you entered in the "setup" sheet and only need to be changed if you arrived or departed at other than your usual times. </t>
  </si>
  <si>
    <t>Std Hrs2:</t>
  </si>
  <si>
    <t>Part Time Working Week, Pattern 2</t>
  </si>
  <si>
    <t>If you work an alternating pattern of hours or days every 2 weeks, fill in the hours in "Part Time Working Week, Pattern 2" (scroll right)</t>
  </si>
  <si>
    <t xml:space="preserve">       If you didn't work at all on a day, delete all 4 start and end times for the day, and specify a leave type code.</t>
  </si>
  <si>
    <t>If you took non-flexi leave then also enter the number of hours and minutes of non-flexi leave that you took in the "Hrs" and "Mins" columns under the  "Leave/Public Holidays" heading.</t>
  </si>
  <si>
    <t>Customise your timesheets by entering data in the blue shaded cells below.</t>
  </si>
  <si>
    <t>Good Friday</t>
  </si>
  <si>
    <t>Uni holiday</t>
  </si>
  <si>
    <t>Type the name of your organisational unit:</t>
  </si>
  <si>
    <t>Note:</t>
  </si>
  <si>
    <t>Public Holiday</t>
  </si>
  <si>
    <t>Uni Shutdown</t>
  </si>
  <si>
    <t>Uni Holiday</t>
  </si>
  <si>
    <t>Easter Monday</t>
  </si>
  <si>
    <t>5. Parental Leave</t>
  </si>
  <si>
    <t>6. Study/Exam Leave</t>
  </si>
  <si>
    <t>7. Compassionate Leave</t>
  </si>
  <si>
    <t>(This form must be retained for 7 years)</t>
  </si>
  <si>
    <t>/</t>
  </si>
  <si>
    <t>Total Own Leave Taken:</t>
  </si>
  <si>
    <t>Hrs Worked</t>
  </si>
  <si>
    <t>To</t>
  </si>
  <si>
    <t xml:space="preserve">                        Note: be sure to save this Microsoft Excel file to your local hard drive before using it</t>
  </si>
  <si>
    <t xml:space="preserve">2) ENTER THE HOURS YOU WORKED REGULARLY: </t>
  </si>
  <si>
    <r>
      <t xml:space="preserve">       For full days off (other than flex days) enter your number of normal working hours </t>
    </r>
    <r>
      <rPr>
        <i/>
        <sz val="10"/>
        <rFont val="Calibri"/>
        <family val="2"/>
        <scheme val="minor"/>
      </rPr>
      <t>for that day</t>
    </r>
    <r>
      <rPr>
        <sz val="10"/>
        <rFont val="Calibri"/>
        <family val="2"/>
        <scheme val="minor"/>
      </rPr>
      <t xml:space="preserve"> for the amount of leave taken. For full-time staff this will be 7.</t>
    </r>
  </si>
  <si>
    <t xml:space="preserve">       Flextime is calculated and shown in the "Flex CR" and "Flex DB" columns.</t>
  </si>
  <si>
    <t>SIGNATURE:______________________________</t>
  </si>
  <si>
    <t>King's B'day</t>
  </si>
  <si>
    <t xml:space="preserve">Note that in line with the Enterprise Agreement you can only acrue a maximum of 21 hours of credit within the 28 day period. </t>
  </si>
  <si>
    <t>The university Christmas Closedown and all Public Holidays have been prepopulated, there is no need to adjust them.</t>
  </si>
  <si>
    <t>FLEXTIME SPAN OF WORKING HOURS</t>
  </si>
  <si>
    <t>8. Public Holiday</t>
  </si>
  <si>
    <t>9. University Holiday</t>
  </si>
  <si>
    <t>11. Life Leave</t>
  </si>
  <si>
    <t>13. Other</t>
  </si>
  <si>
    <t>LEAVE TYPE</t>
  </si>
  <si>
    <t>12.  Time Off in Lieu</t>
  </si>
  <si>
    <t>2. Personal and Carer's Lve</t>
  </si>
  <si>
    <t>Sign a copy of the worksheet for the current period and either print or save as a pdf and forward to your supervisor.</t>
  </si>
  <si>
    <t>https://uonau.service-now.com/hrservices</t>
  </si>
  <si>
    <t xml:space="preserve">If you have any questions please log a Service Now request here: </t>
  </si>
  <si>
    <t>3) SAVING THE FLEXITIME SHEET:</t>
  </si>
  <si>
    <t>(c)</t>
  </si>
  <si>
    <t>Total Leave Taken:</t>
  </si>
  <si>
    <t>Comments</t>
  </si>
  <si>
    <r>
      <t xml:space="preserve">Follow the steps and enter your personal information in the </t>
    </r>
    <r>
      <rPr>
        <sz val="10"/>
        <color indexed="12"/>
        <rFont val="Calibri"/>
        <family val="2"/>
        <scheme val="minor"/>
      </rPr>
      <t>blue shaded cells</t>
    </r>
    <r>
      <rPr>
        <sz val="10"/>
        <rFont val="Calibri"/>
        <family val="2"/>
        <scheme val="minor"/>
      </rPr>
      <t>.</t>
    </r>
  </si>
  <si>
    <r>
      <t xml:space="preserve">Record your hours worked on each day by entering times in the four </t>
    </r>
    <r>
      <rPr>
        <sz val="10"/>
        <color indexed="12"/>
        <rFont val="Calibri"/>
        <family val="2"/>
        <scheme val="minor"/>
      </rPr>
      <t>blue shaded cells</t>
    </r>
    <r>
      <rPr>
        <sz val="10"/>
        <rFont val="Calibri"/>
        <family val="2"/>
        <scheme val="minor"/>
      </rPr>
      <t>:</t>
    </r>
  </si>
  <si>
    <r>
      <t xml:space="preserve">Specify any Leave  in the </t>
    </r>
    <r>
      <rPr>
        <sz val="10"/>
        <color indexed="23"/>
        <rFont val="Calibri"/>
        <family val="2"/>
        <scheme val="minor"/>
      </rPr>
      <t>grey shaded cells</t>
    </r>
    <r>
      <rPr>
        <sz val="10"/>
        <rFont val="Calibri"/>
        <family val="2"/>
        <scheme val="minor"/>
      </rPr>
      <t>:</t>
    </r>
  </si>
  <si>
    <t xml:space="preserve">Note: Flextime Scheme spreadsheet has been updated and is 2023 Enterprise Agreement compliant. </t>
  </si>
  <si>
    <t>If you took any type of leave then enter a leave type code (1-13) in the "Type"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</si>
</sst>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h"/>
    <numFmt numFmtId="166" formatCode="#"/>
    <numFmt numFmtId="167" formatCode="[&lt;=0]##;00"/>
  </numFmts>
  <fonts count="38" x14ac:knownFonts="1">
    <font>
      <sz val="10"/>
      <name val="Helv"/>
    </font>
    <font>
      <b/>
      <sz val="8"/>
      <name val="Tms Rmn"/>
    </font>
    <font>
      <sz val="10"/>
      <name val="Tms Rmn"/>
    </font>
    <font>
      <b/>
      <sz val="10"/>
      <name val="Tms Rmn"/>
    </font>
    <font>
      <b/>
      <sz val="12"/>
      <name val="Tms Rmn"/>
    </font>
    <font>
      <sz val="12"/>
      <name val="Tms Rmn"/>
    </font>
    <font>
      <b/>
      <sz val="9"/>
      <name val="Tms Rmn"/>
    </font>
    <font>
      <sz val="8"/>
      <name val="Tms Rmn"/>
    </font>
    <font>
      <sz val="9"/>
      <name val="Tms Rmn"/>
    </font>
    <font>
      <b/>
      <sz val="7"/>
      <name val="Tms Rmn"/>
    </font>
    <font>
      <sz val="10"/>
      <color indexed="48"/>
      <name val="Tms Rmn"/>
    </font>
    <font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color indexed="22"/>
      <name val="Tms Rmn"/>
    </font>
    <font>
      <u/>
      <sz val="10"/>
      <color theme="10"/>
      <name val="Helv"/>
    </font>
    <font>
      <sz val="10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8"/>
      <name val="Calibri"/>
      <family val="2"/>
      <scheme val="minor"/>
    </font>
    <font>
      <sz val="10"/>
      <color indexed="22"/>
      <name val="Calibri"/>
      <family val="2"/>
      <scheme val="minor"/>
    </font>
    <font>
      <sz val="9"/>
      <color indexed="55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2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" fontId="5" fillId="2" borderId="1" applyNumberFormat="0" applyFont="0" applyBorder="0" applyAlignment="0" applyProtection="0">
      <protection locked="0"/>
    </xf>
    <xf numFmtId="1" fontId="5" fillId="2" borderId="1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2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3" fillId="0" borderId="0" xfId="0" applyFont="1"/>
    <xf numFmtId="0" fontId="2" fillId="0" borderId="4" xfId="0" applyFont="1" applyBorder="1"/>
    <xf numFmtId="0" fontId="3" fillId="0" borderId="5" xfId="0" applyFont="1" applyBorder="1"/>
    <xf numFmtId="0" fontId="2" fillId="0" borderId="5" xfId="0" applyFont="1" applyBorder="1" applyAlignment="1">
      <alignment horizontal="centerContinuous"/>
    </xf>
    <xf numFmtId="0" fontId="2" fillId="3" borderId="0" xfId="0" applyFont="1" applyFill="1"/>
    <xf numFmtId="20" fontId="6" fillId="0" borderId="0" xfId="0" applyNumberFormat="1" applyFont="1"/>
    <xf numFmtId="15" fontId="3" fillId="0" borderId="0" xfId="0" applyNumberFormat="1" applyFont="1" applyAlignment="1">
      <alignment horizontal="right"/>
    </xf>
    <xf numFmtId="0" fontId="1" fillId="0" borderId="7" xfId="0" applyFont="1" applyBorder="1"/>
    <xf numFmtId="0" fontId="7" fillId="0" borderId="7" xfId="0" applyFont="1" applyBorder="1" applyAlignment="1">
      <alignment horizontal="center"/>
    </xf>
    <xf numFmtId="0" fontId="0" fillId="0" borderId="7" xfId="0" applyBorder="1"/>
    <xf numFmtId="0" fontId="2" fillId="0" borderId="8" xfId="0" applyFont="1" applyBorder="1"/>
    <xf numFmtId="0" fontId="8" fillId="0" borderId="0" xfId="0" applyFont="1"/>
    <xf numFmtId="15" fontId="6" fillId="0" borderId="0" xfId="0" applyNumberFormat="1" applyFont="1"/>
    <xf numFmtId="0" fontId="1" fillId="0" borderId="1" xfId="0" applyFont="1" applyBorder="1"/>
    <xf numFmtId="0" fontId="3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2" fillId="0" borderId="2" xfId="0" applyFont="1" applyBorder="1"/>
    <xf numFmtId="164" fontId="3" fillId="0" borderId="0" xfId="0" applyNumberFormat="1" applyFont="1" applyAlignment="1">
      <alignment horizontal="left"/>
    </xf>
    <xf numFmtId="0" fontId="8" fillId="0" borderId="1" xfId="0" applyFont="1" applyBorder="1"/>
    <xf numFmtId="0" fontId="8" fillId="0" borderId="4" xfId="0" applyFont="1" applyBorder="1"/>
    <xf numFmtId="0" fontId="8" fillId="3" borderId="0" xfId="0" applyFont="1" applyFill="1"/>
    <xf numFmtId="20" fontId="6" fillId="0" borderId="0" xfId="0" applyNumberFormat="1" applyFont="1" applyAlignment="1">
      <alignment horizontal="right"/>
    </xf>
    <xf numFmtId="0" fontId="8" fillId="0" borderId="7" xfId="0" applyFont="1" applyBorder="1"/>
    <xf numFmtId="0" fontId="7" fillId="0" borderId="0" xfId="0" applyFont="1"/>
    <xf numFmtId="0" fontId="1" fillId="0" borderId="0" xfId="0" applyFont="1"/>
    <xf numFmtId="0" fontId="2" fillId="0" borderId="0" xfId="0" quotePrefix="1" applyFont="1" applyAlignment="1">
      <alignment horizontal="left"/>
    </xf>
    <xf numFmtId="20" fontId="3" fillId="0" borderId="0" xfId="0" applyNumberFormat="1" applyFont="1"/>
    <xf numFmtId="0" fontId="2" fillId="4" borderId="0" xfId="0" applyFont="1" applyFill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Continuous"/>
    </xf>
    <xf numFmtId="14" fontId="2" fillId="0" borderId="4" xfId="0" applyNumberFormat="1" applyFont="1" applyBorder="1" applyAlignment="1">
      <alignment horizontal="centerContinuous"/>
    </xf>
    <xf numFmtId="0" fontId="3" fillId="0" borderId="4" xfId="0" applyFont="1" applyBorder="1"/>
    <xf numFmtId="0" fontId="7" fillId="0" borderId="8" xfId="0" applyFont="1" applyBorder="1" applyAlignment="1">
      <alignment horizontal="center"/>
    </xf>
    <xf numFmtId="0" fontId="2" fillId="0" borderId="7" xfId="0" applyFont="1" applyBorder="1"/>
    <xf numFmtId="2" fontId="5" fillId="0" borderId="10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center"/>
    </xf>
    <xf numFmtId="0" fontId="2" fillId="0" borderId="1" xfId="0" applyFont="1" applyBorder="1"/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64" fontId="8" fillId="0" borderId="0" xfId="0" applyNumberFormat="1" applyFont="1"/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0" xfId="0" applyFont="1"/>
    <xf numFmtId="0" fontId="11" fillId="4" borderId="0" xfId="0" applyFont="1" applyFill="1"/>
    <xf numFmtId="0" fontId="11" fillId="0" borderId="0" xfId="0" applyFont="1" applyAlignment="1">
      <alignment horizontal="right"/>
    </xf>
    <xf numFmtId="0" fontId="12" fillId="0" borderId="0" xfId="0" applyFont="1"/>
    <xf numFmtId="1" fontId="12" fillId="4" borderId="0" xfId="0" applyNumberFormat="1" applyFont="1" applyFill="1"/>
    <xf numFmtId="0" fontId="13" fillId="0" borderId="0" xfId="0" applyFont="1"/>
    <xf numFmtId="0" fontId="11" fillId="3" borderId="0" xfId="0" applyFont="1" applyFill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0" fillId="4" borderId="0" xfId="0" applyFill="1"/>
    <xf numFmtId="164" fontId="2" fillId="0" borderId="0" xfId="0" applyNumberFormat="1" applyFont="1" applyAlignment="1">
      <alignment horizontal="left"/>
    </xf>
    <xf numFmtId="1" fontId="14" fillId="3" borderId="0" xfId="0" applyNumberFormat="1" applyFont="1" applyFill="1"/>
    <xf numFmtId="0" fontId="15" fillId="0" borderId="0" xfId="3" applyAlignment="1" applyProtection="1"/>
    <xf numFmtId="0" fontId="16" fillId="0" borderId="0" xfId="0" applyFont="1" applyAlignment="1">
      <alignment horizontal="right"/>
    </xf>
    <xf numFmtId="0" fontId="17" fillId="0" borderId="2" xfId="0" applyFont="1" applyBorder="1" applyAlignment="1" applyProtection="1">
      <alignment horizontal="center"/>
      <protection locked="0"/>
    </xf>
    <xf numFmtId="14" fontId="17" fillId="0" borderId="2" xfId="0" applyNumberFormat="1" applyFont="1" applyBorder="1" applyAlignment="1">
      <alignment horizontal="center"/>
    </xf>
    <xf numFmtId="15" fontId="17" fillId="0" borderId="2" xfId="0" applyNumberFormat="1" applyFont="1" applyBorder="1" applyAlignment="1">
      <alignment horizontal="left"/>
    </xf>
    <xf numFmtId="20" fontId="17" fillId="5" borderId="2" xfId="0" applyNumberFormat="1" applyFont="1" applyFill="1" applyBorder="1" applyAlignment="1" applyProtection="1">
      <alignment horizontal="center"/>
      <protection locked="0"/>
    </xf>
    <xf numFmtId="20" fontId="17" fillId="0" borderId="2" xfId="0" applyNumberFormat="1" applyFont="1" applyBorder="1" applyAlignment="1">
      <alignment horizontal="center"/>
    </xf>
    <xf numFmtId="1" fontId="17" fillId="0" borderId="2" xfId="0" applyNumberFormat="1" applyFont="1" applyBorder="1"/>
    <xf numFmtId="164" fontId="17" fillId="0" borderId="2" xfId="0" applyNumberFormat="1" applyFont="1" applyBorder="1"/>
    <xf numFmtId="164" fontId="17" fillId="3" borderId="2" xfId="0" applyNumberFormat="1" applyFont="1" applyFill="1" applyBorder="1"/>
    <xf numFmtId="0" fontId="17" fillId="6" borderId="2" xfId="0" applyFont="1" applyFill="1" applyBorder="1" applyAlignment="1" applyProtection="1">
      <alignment horizontal="center"/>
      <protection locked="0"/>
    </xf>
    <xf numFmtId="166" fontId="17" fillId="6" borderId="2" xfId="0" applyNumberFormat="1" applyFont="1" applyFill="1" applyBorder="1" applyAlignment="1" applyProtection="1">
      <alignment horizontal="right"/>
      <protection locked="0"/>
    </xf>
    <xf numFmtId="167" fontId="17" fillId="6" borderId="2" xfId="0" applyNumberFormat="1" applyFont="1" applyFill="1" applyBorder="1" applyAlignment="1" applyProtection="1">
      <alignment horizontal="right"/>
      <protection locked="0"/>
    </xf>
    <xf numFmtId="166" fontId="17" fillId="3" borderId="2" xfId="0" applyNumberFormat="1" applyFont="1" applyFill="1" applyBorder="1" applyAlignment="1">
      <alignment horizontal="right"/>
    </xf>
    <xf numFmtId="0" fontId="17" fillId="3" borderId="2" xfId="0" applyFont="1" applyFill="1" applyBorder="1"/>
    <xf numFmtId="1" fontId="17" fillId="3" borderId="2" xfId="0" applyNumberFormat="1" applyFont="1" applyFill="1" applyBorder="1"/>
    <xf numFmtId="166" fontId="17" fillId="3" borderId="2" xfId="0" applyNumberFormat="1" applyFont="1" applyFill="1" applyBorder="1" applyAlignment="1">
      <alignment horizontal="center"/>
    </xf>
    <xf numFmtId="20" fontId="17" fillId="0" borderId="2" xfId="0" applyNumberFormat="1" applyFont="1" applyBorder="1" applyProtection="1">
      <protection locked="0"/>
    </xf>
    <xf numFmtId="166" fontId="17" fillId="0" borderId="2" xfId="0" applyNumberFormat="1" applyFont="1" applyBorder="1"/>
    <xf numFmtId="167" fontId="17" fillId="0" borderId="2" xfId="0" applyNumberFormat="1" applyFont="1" applyBorder="1"/>
    <xf numFmtId="0" fontId="17" fillId="0" borderId="2" xfId="0" applyFont="1" applyBorder="1"/>
    <xf numFmtId="164" fontId="17" fillId="0" borderId="2" xfId="0" applyNumberFormat="1" applyFont="1" applyBorder="1" applyAlignment="1">
      <alignment horizontal="center"/>
    </xf>
    <xf numFmtId="20" fontId="17" fillId="0" borderId="2" xfId="0" applyNumberFormat="1" applyFont="1" applyBorder="1"/>
    <xf numFmtId="164" fontId="17" fillId="0" borderId="0" xfId="0" applyNumberFormat="1" applyFont="1"/>
    <xf numFmtId="0" fontId="17" fillId="0" borderId="0" xfId="0" applyFont="1"/>
    <xf numFmtId="14" fontId="17" fillId="0" borderId="11" xfId="0" applyNumberFormat="1" applyFont="1" applyBorder="1" applyAlignment="1">
      <alignment horizontal="center"/>
    </xf>
    <xf numFmtId="15" fontId="17" fillId="0" borderId="11" xfId="0" applyNumberFormat="1" applyFont="1" applyBorder="1" applyAlignment="1">
      <alignment horizontal="left"/>
    </xf>
    <xf numFmtId="164" fontId="17" fillId="3" borderId="11" xfId="0" applyNumberFormat="1" applyFont="1" applyFill="1" applyBorder="1"/>
    <xf numFmtId="0" fontId="17" fillId="3" borderId="11" xfId="0" applyFont="1" applyFill="1" applyBorder="1" applyAlignment="1">
      <alignment horizontal="right"/>
    </xf>
    <xf numFmtId="20" fontId="17" fillId="0" borderId="11" xfId="0" applyNumberFormat="1" applyFont="1" applyBorder="1"/>
    <xf numFmtId="0" fontId="17" fillId="0" borderId="11" xfId="0" applyFont="1" applyBorder="1"/>
    <xf numFmtId="164" fontId="17" fillId="0" borderId="11" xfId="0" applyNumberFormat="1" applyFont="1" applyBorder="1" applyAlignment="1">
      <alignment horizontal="center"/>
    </xf>
    <xf numFmtId="0" fontId="17" fillId="3" borderId="11" xfId="0" applyFont="1" applyFill="1" applyBorder="1"/>
    <xf numFmtId="1" fontId="17" fillId="0" borderId="11" xfId="0" applyNumberFormat="1" applyFont="1" applyBorder="1"/>
    <xf numFmtId="164" fontId="17" fillId="0" borderId="11" xfId="0" applyNumberFormat="1" applyFont="1" applyBorder="1"/>
    <xf numFmtId="0" fontId="17" fillId="0" borderId="4" xfId="0" applyFont="1" applyBorder="1" applyAlignment="1" applyProtection="1">
      <alignment horizontal="center"/>
      <protection locked="0"/>
    </xf>
    <xf numFmtId="0" fontId="17" fillId="3" borderId="2" xfId="0" applyFont="1" applyFill="1" applyBorder="1" applyAlignment="1">
      <alignment horizontal="right"/>
    </xf>
    <xf numFmtId="20" fontId="17" fillId="0" borderId="2" xfId="0" applyNumberFormat="1" applyFont="1" applyBorder="1" applyAlignment="1" applyProtection="1">
      <alignment horizontal="center"/>
      <protection locked="0"/>
    </xf>
    <xf numFmtId="0" fontId="20" fillId="0" borderId="0" xfId="0" applyFont="1"/>
    <xf numFmtId="0" fontId="20" fillId="0" borderId="0" xfId="0" applyFont="1" applyAlignment="1">
      <alignment horizontal="right"/>
    </xf>
    <xf numFmtId="20" fontId="21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23" fillId="0" borderId="3" xfId="0" applyFont="1" applyBorder="1"/>
    <xf numFmtId="0" fontId="23" fillId="0" borderId="3" xfId="0" applyFont="1" applyBorder="1" applyAlignment="1">
      <alignment horizontal="left"/>
    </xf>
    <xf numFmtId="0" fontId="20" fillId="0" borderId="4" xfId="0" applyFont="1" applyBorder="1"/>
    <xf numFmtId="0" fontId="27" fillId="0" borderId="4" xfId="0" applyFont="1" applyBorder="1"/>
    <xf numFmtId="0" fontId="22" fillId="0" borderId="9" xfId="0" applyFont="1" applyBorder="1" applyAlignment="1">
      <alignment horizontal="left"/>
    </xf>
    <xf numFmtId="0" fontId="17" fillId="0" borderId="6" xfId="0" applyFont="1" applyBorder="1"/>
    <xf numFmtId="0" fontId="17" fillId="0" borderId="14" xfId="0" applyFont="1" applyBorder="1"/>
    <xf numFmtId="0" fontId="17" fillId="0" borderId="9" xfId="0" applyFont="1" applyBorder="1"/>
    <xf numFmtId="0" fontId="17" fillId="0" borderId="1" xfId="0" applyFont="1" applyBorder="1"/>
    <xf numFmtId="0" fontId="23" fillId="0" borderId="4" xfId="0" applyFont="1" applyBorder="1" applyAlignment="1">
      <alignment horizontal="centerContinuous"/>
    </xf>
    <xf numFmtId="0" fontId="24" fillId="0" borderId="7" xfId="0" applyFont="1" applyBorder="1" applyAlignment="1">
      <alignment horizontal="centerContinuous"/>
    </xf>
    <xf numFmtId="0" fontId="24" fillId="0" borderId="4" xfId="0" applyFont="1" applyBorder="1" applyAlignment="1">
      <alignment horizontal="centerContinuous"/>
    </xf>
    <xf numFmtId="0" fontId="24" fillId="0" borderId="3" xfId="0" applyFont="1" applyBorder="1" applyAlignment="1">
      <alignment horizontal="centerContinuous"/>
    </xf>
    <xf numFmtId="0" fontId="22" fillId="0" borderId="3" xfId="0" applyFont="1" applyBorder="1" applyAlignment="1">
      <alignment horizontal="left"/>
    </xf>
    <xf numFmtId="0" fontId="22" fillId="0" borderId="3" xfId="0" applyFont="1" applyBorder="1" applyAlignment="1">
      <alignment horizontal="left" vertical="center"/>
    </xf>
    <xf numFmtId="0" fontId="19" fillId="0" borderId="2" xfId="0" applyFont="1" applyBorder="1" applyAlignment="1">
      <alignment horizontal="center" wrapText="1"/>
    </xf>
    <xf numFmtId="0" fontId="19" fillId="0" borderId="0" xfId="0" applyFont="1"/>
    <xf numFmtId="0" fontId="22" fillId="0" borderId="2" xfId="0" applyFont="1" applyBorder="1" applyAlignment="1">
      <alignment horizontal="centerContinuous"/>
    </xf>
    <xf numFmtId="0" fontId="23" fillId="0" borderId="2" xfId="0" applyFont="1" applyBorder="1" applyAlignment="1">
      <alignment horizontal="centerContinuous"/>
    </xf>
    <xf numFmtId="0" fontId="23" fillId="0" borderId="5" xfId="0" applyFont="1" applyBorder="1" applyAlignment="1">
      <alignment horizontal="centerContinuous"/>
    </xf>
    <xf numFmtId="2" fontId="26" fillId="0" borderId="1" xfId="0" applyNumberFormat="1" applyFont="1" applyBorder="1" applyAlignment="1">
      <alignment horizontal="right"/>
    </xf>
    <xf numFmtId="0" fontId="25" fillId="0" borderId="0" xfId="0" applyFont="1" applyAlignment="1">
      <alignment horizontal="centerContinuous" vertical="center"/>
    </xf>
    <xf numFmtId="0" fontId="23" fillId="0" borderId="6" xfId="0" applyFont="1" applyBorder="1"/>
    <xf numFmtId="15" fontId="26" fillId="0" borderId="4" xfId="0" applyNumberFormat="1" applyFont="1" applyBorder="1" applyAlignment="1">
      <alignment horizontal="centerContinuous"/>
    </xf>
    <xf numFmtId="0" fontId="17" fillId="3" borderId="0" xfId="0" applyFont="1" applyFill="1"/>
    <xf numFmtId="0" fontId="17" fillId="0" borderId="0" xfId="0" applyFont="1" applyAlignment="1" applyProtection="1">
      <alignment horizontal="center"/>
      <protection locked="0"/>
    </xf>
    <xf numFmtId="0" fontId="26" fillId="0" borderId="4" xfId="0" applyFont="1" applyBorder="1"/>
    <xf numFmtId="0" fontId="23" fillId="0" borderId="12" xfId="0" applyFont="1" applyBorder="1"/>
    <xf numFmtId="164" fontId="23" fillId="0" borderId="12" xfId="0" applyNumberFormat="1" applyFont="1" applyBorder="1" applyAlignment="1">
      <alignment horizontal="center"/>
    </xf>
    <xf numFmtId="0" fontId="23" fillId="0" borderId="12" xfId="0" applyFont="1" applyBorder="1" applyAlignment="1">
      <alignment horizontal="right"/>
    </xf>
    <xf numFmtId="164" fontId="23" fillId="0" borderId="12" xfId="0" applyNumberFormat="1" applyFont="1" applyBorder="1" applyAlignment="1">
      <alignment horizontal="right"/>
    </xf>
    <xf numFmtId="20" fontId="20" fillId="0" borderId="12" xfId="0" applyNumberFormat="1" applyFont="1" applyBorder="1"/>
    <xf numFmtId="0" fontId="24" fillId="0" borderId="12" xfId="0" applyFont="1" applyBorder="1"/>
    <xf numFmtId="164" fontId="24" fillId="0" borderId="12" xfId="0" applyNumberFormat="1" applyFont="1" applyBorder="1"/>
    <xf numFmtId="0" fontId="22" fillId="0" borderId="1" xfId="0" applyFont="1" applyBorder="1" applyAlignment="1">
      <alignment horizontal="left"/>
    </xf>
    <xf numFmtId="0" fontId="17" fillId="0" borderId="0" xfId="0" applyFont="1" applyProtection="1"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1" fontId="17" fillId="0" borderId="11" xfId="0" applyNumberFormat="1" applyFont="1" applyBorder="1" applyAlignment="1" applyProtection="1">
      <alignment horizontal="right"/>
      <protection locked="0"/>
    </xf>
    <xf numFmtId="0" fontId="17" fillId="0" borderId="11" xfId="0" applyFont="1" applyBorder="1" applyAlignment="1" applyProtection="1">
      <alignment horizontal="right"/>
      <protection locked="0"/>
    </xf>
    <xf numFmtId="0" fontId="17" fillId="0" borderId="2" xfId="0" applyFont="1" applyBorder="1" applyProtection="1">
      <protection locked="0"/>
    </xf>
    <xf numFmtId="0" fontId="17" fillId="0" borderId="2" xfId="0" applyFont="1" applyBorder="1" applyAlignment="1" applyProtection="1">
      <alignment horizontal="right"/>
      <protection locked="0"/>
    </xf>
    <xf numFmtId="0" fontId="0" fillId="0" borderId="3" xfId="0" applyBorder="1"/>
    <xf numFmtId="166" fontId="17" fillId="0" borderId="2" xfId="0" applyNumberFormat="1" applyFont="1" applyBorder="1" applyAlignment="1" applyProtection="1">
      <alignment horizontal="right"/>
      <protection locked="0"/>
    </xf>
    <xf numFmtId="167" fontId="17" fillId="0" borderId="2" xfId="0" applyNumberFormat="1" applyFont="1" applyBorder="1" applyAlignment="1" applyProtection="1">
      <alignment horizontal="right"/>
      <protection locked="0"/>
    </xf>
    <xf numFmtId="0" fontId="17" fillId="4" borderId="0" xfId="0" applyFont="1" applyFill="1"/>
    <xf numFmtId="0" fontId="22" fillId="4" borderId="0" xfId="0" applyFont="1" applyFill="1"/>
    <xf numFmtId="0" fontId="17" fillId="0" borderId="0" xfId="0" quotePrefix="1" applyFont="1" applyAlignment="1">
      <alignment horizontal="left"/>
    </xf>
    <xf numFmtId="0" fontId="17" fillId="0" borderId="0" xfId="0" applyFont="1" applyAlignment="1">
      <alignment horizontal="left"/>
    </xf>
    <xf numFmtId="0" fontId="22" fillId="0" borderId="0" xfId="0" applyFont="1"/>
    <xf numFmtId="0" fontId="29" fillId="0" borderId="0" xfId="0" applyFont="1"/>
    <xf numFmtId="15" fontId="19" fillId="0" borderId="0" xfId="0" applyNumberFormat="1" applyFont="1"/>
    <xf numFmtId="0" fontId="19" fillId="0" borderId="0" xfId="0" quotePrefix="1" applyFont="1" applyAlignment="1">
      <alignment horizontal="left"/>
    </xf>
    <xf numFmtId="0" fontId="17" fillId="0" borderId="0" xfId="0" applyFont="1" applyAlignment="1">
      <alignment horizontal="center"/>
    </xf>
    <xf numFmtId="0" fontId="22" fillId="0" borderId="6" xfId="0" applyFont="1" applyBorder="1" applyAlignment="1">
      <alignment horizontal="centerContinuous"/>
    </xf>
    <xf numFmtId="0" fontId="30" fillId="0" borderId="4" xfId="0" applyFont="1" applyBorder="1" applyAlignment="1">
      <alignment horizontal="centerContinuous"/>
    </xf>
    <xf numFmtId="0" fontId="22" fillId="0" borderId="3" xfId="0" applyFont="1" applyBorder="1" applyAlignment="1">
      <alignment horizontal="centerContinuous"/>
    </xf>
    <xf numFmtId="0" fontId="22" fillId="0" borderId="4" xfId="0" applyFont="1" applyBorder="1" applyAlignment="1">
      <alignment horizontal="centerContinuous"/>
    </xf>
    <xf numFmtId="0" fontId="17" fillId="0" borderId="8" xfId="0" applyFont="1" applyBorder="1"/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wrapText="1"/>
    </xf>
    <xf numFmtId="0" fontId="30" fillId="0" borderId="2" xfId="0" applyFont="1" applyBorder="1" applyAlignment="1">
      <alignment horizontal="left" wrapText="1"/>
    </xf>
    <xf numFmtId="20" fontId="26" fillId="2" borderId="2" xfId="1" applyNumberFormat="1" applyFont="1" applyBorder="1" applyProtection="1">
      <protection locked="0"/>
    </xf>
    <xf numFmtId="20" fontId="26" fillId="2" borderId="2" xfId="2" applyNumberFormat="1" applyFont="1" applyBorder="1">
      <protection locked="0"/>
    </xf>
    <xf numFmtId="20" fontId="31" fillId="0" borderId="2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7" fillId="2" borderId="2" xfId="1" applyNumberFormat="1" applyFont="1" applyBorder="1" applyAlignment="1" applyProtection="1">
      <alignment horizontal="center"/>
      <protection locked="0"/>
    </xf>
    <xf numFmtId="0" fontId="17" fillId="2" borderId="2" xfId="1" applyNumberFormat="1" applyFont="1" applyBorder="1" applyProtection="1">
      <protection locked="0"/>
    </xf>
    <xf numFmtId="0" fontId="32" fillId="0" borderId="0" xfId="0" applyFont="1"/>
    <xf numFmtId="0" fontId="19" fillId="4" borderId="0" xfId="0" applyFont="1" applyFill="1" applyProtection="1">
      <protection locked="0"/>
    </xf>
    <xf numFmtId="0" fontId="17" fillId="0" borderId="0" xfId="0" applyFont="1" applyAlignment="1">
      <alignment horizontal="right"/>
    </xf>
    <xf numFmtId="0" fontId="33" fillId="7" borderId="0" xfId="1" applyNumberFormat="1" applyFont="1" applyFill="1" applyBorder="1" applyProtection="1"/>
    <xf numFmtId="1" fontId="26" fillId="2" borderId="2" xfId="1" applyFont="1" applyBorder="1" applyProtection="1">
      <protection locked="0"/>
    </xf>
    <xf numFmtId="1" fontId="26" fillId="2" borderId="2" xfId="1" applyFont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7" fillId="0" borderId="13" xfId="0" applyFont="1" applyBorder="1"/>
    <xf numFmtId="0" fontId="18" fillId="0" borderId="0" xfId="0" applyFont="1"/>
    <xf numFmtId="0" fontId="17" fillId="0" borderId="10" xfId="0" applyFont="1" applyBorder="1"/>
    <xf numFmtId="20" fontId="22" fillId="0" borderId="6" xfId="0" applyNumberFormat="1" applyFont="1" applyBorder="1"/>
    <xf numFmtId="0" fontId="22" fillId="0" borderId="6" xfId="0" applyFont="1" applyBorder="1"/>
    <xf numFmtId="0" fontId="3" fillId="0" borderId="8" xfId="0" applyFont="1" applyBorder="1"/>
    <xf numFmtId="0" fontId="23" fillId="0" borderId="0" xfId="0" applyFont="1" applyAlignment="1">
      <alignment horizontal="left"/>
    </xf>
    <xf numFmtId="1" fontId="26" fillId="0" borderId="0" xfId="0" applyNumberFormat="1" applyFont="1"/>
    <xf numFmtId="0" fontId="22" fillId="0" borderId="0" xfId="0" applyFont="1" applyAlignment="1">
      <alignment horizontal="left"/>
    </xf>
    <xf numFmtId="1" fontId="5" fillId="4" borderId="0" xfId="0" applyNumberFormat="1" applyFont="1" applyFill="1"/>
    <xf numFmtId="0" fontId="9" fillId="0" borderId="0" xfId="0" applyFont="1"/>
    <xf numFmtId="14" fontId="17" fillId="0" borderId="0" xfId="0" applyNumberFormat="1" applyFont="1"/>
    <xf numFmtId="0" fontId="17" fillId="0" borderId="0" xfId="0" applyFont="1" applyAlignment="1">
      <alignment wrapText="1"/>
    </xf>
    <xf numFmtId="0" fontId="17" fillId="0" borderId="0" xfId="1" applyNumberFormat="1" applyFont="1" applyFill="1" applyBorder="1" applyProtection="1"/>
    <xf numFmtId="0" fontId="26" fillId="4" borderId="0" xfId="0" applyFont="1" applyFill="1"/>
    <xf numFmtId="0" fontId="24" fillId="4" borderId="0" xfId="0" applyFont="1" applyFill="1"/>
    <xf numFmtId="0" fontId="36" fillId="0" borderId="0" xfId="0" applyFont="1"/>
    <xf numFmtId="20" fontId="17" fillId="5" borderId="2" xfId="0" applyNumberFormat="1" applyFont="1" applyFill="1" applyBorder="1" applyAlignment="1">
      <alignment horizontal="center"/>
    </xf>
    <xf numFmtId="0" fontId="37" fillId="0" borderId="0" xfId="0" applyFont="1"/>
    <xf numFmtId="20" fontId="17" fillId="0" borderId="11" xfId="0" applyNumberFormat="1" applyFont="1" applyBorder="1" applyAlignment="1" applyProtection="1">
      <alignment horizontal="center"/>
      <protection locked="0"/>
    </xf>
    <xf numFmtId="20" fontId="17" fillId="0" borderId="11" xfId="0" applyNumberFormat="1" applyFont="1" applyBorder="1" applyAlignment="1">
      <alignment horizontal="center"/>
    </xf>
    <xf numFmtId="0" fontId="17" fillId="0" borderId="12" xfId="0" applyFont="1" applyBorder="1"/>
    <xf numFmtId="164" fontId="17" fillId="0" borderId="12" xfId="0" applyNumberFormat="1" applyFont="1" applyBorder="1"/>
    <xf numFmtId="0" fontId="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Border="1"/>
    <xf numFmtId="0" fontId="2" fillId="0" borderId="2" xfId="0" applyFont="1" applyBorder="1" applyAlignment="1">
      <alignment horizontal="centerContinuous"/>
    </xf>
    <xf numFmtId="0" fontId="22" fillId="0" borderId="2" xfId="0" applyFont="1" applyBorder="1" applyAlignment="1">
      <alignment horizontal="left" vertical="center"/>
    </xf>
    <xf numFmtId="1" fontId="17" fillId="0" borderId="2" xfId="0" applyNumberFormat="1" applyFont="1" applyBorder="1" applyAlignment="1" applyProtection="1">
      <alignment horizontal="right"/>
      <protection locked="0"/>
    </xf>
    <xf numFmtId="0" fontId="20" fillId="0" borderId="2" xfId="0" applyFont="1" applyBorder="1" applyAlignment="1">
      <alignment horizontal="right"/>
    </xf>
    <xf numFmtId="0" fontId="24" fillId="0" borderId="2" xfId="0" applyFont="1" applyBorder="1"/>
    <xf numFmtId="164" fontId="24" fillId="0" borderId="2" xfId="0" applyNumberFormat="1" applyFont="1" applyBorder="1"/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right"/>
    </xf>
    <xf numFmtId="164" fontId="2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" fontId="14" fillId="3" borderId="2" xfId="0" applyNumberFormat="1" applyFont="1" applyFill="1" applyBorder="1"/>
    <xf numFmtId="0" fontId="23" fillId="0" borderId="2" xfId="0" applyFont="1" applyBorder="1"/>
    <xf numFmtId="164" fontId="23" fillId="0" borderId="2" xfId="0" applyNumberFormat="1" applyFont="1" applyBorder="1" applyAlignment="1">
      <alignment horizontal="center"/>
    </xf>
    <xf numFmtId="20" fontId="20" fillId="0" borderId="2" xfId="0" applyNumberFormat="1" applyFont="1" applyBorder="1"/>
    <xf numFmtId="1" fontId="17" fillId="3" borderId="11" xfId="0" applyNumberFormat="1" applyFont="1" applyFill="1" applyBorder="1"/>
    <xf numFmtId="166" fontId="17" fillId="3" borderId="11" xfId="0" applyNumberFormat="1" applyFont="1" applyFill="1" applyBorder="1" applyAlignment="1">
      <alignment horizontal="center"/>
    </xf>
    <xf numFmtId="166" fontId="17" fillId="0" borderId="11" xfId="0" applyNumberFormat="1" applyFont="1" applyBorder="1"/>
    <xf numFmtId="14" fontId="17" fillId="0" borderId="12" xfId="0" applyNumberFormat="1" applyFont="1" applyBorder="1" applyAlignment="1">
      <alignment horizontal="center"/>
    </xf>
    <xf numFmtId="15" fontId="17" fillId="0" borderId="12" xfId="0" applyNumberFormat="1" applyFont="1" applyBorder="1" applyAlignment="1">
      <alignment horizontal="left"/>
    </xf>
    <xf numFmtId="20" fontId="17" fillId="0" borderId="12" xfId="0" applyNumberFormat="1" applyFont="1" applyBorder="1" applyAlignment="1">
      <alignment horizontal="center"/>
    </xf>
    <xf numFmtId="20" fontId="17" fillId="0" borderId="12" xfId="0" applyNumberFormat="1" applyFont="1" applyBorder="1" applyAlignment="1" applyProtection="1">
      <alignment horizontal="center"/>
      <protection locked="0"/>
    </xf>
    <xf numFmtId="1" fontId="17" fillId="0" borderId="12" xfId="0" applyNumberFormat="1" applyFont="1" applyBorder="1"/>
    <xf numFmtId="164" fontId="17" fillId="3" borderId="12" xfId="0" applyNumberFormat="1" applyFont="1" applyFill="1" applyBorder="1"/>
    <xf numFmtId="0" fontId="17" fillId="3" borderId="12" xfId="0" applyFont="1" applyFill="1" applyBorder="1"/>
    <xf numFmtId="20" fontId="17" fillId="0" borderId="12" xfId="0" applyNumberFormat="1" applyFont="1" applyBorder="1"/>
    <xf numFmtId="164" fontId="17" fillId="0" borderId="12" xfId="0" applyNumberFormat="1" applyFont="1" applyBorder="1" applyAlignment="1">
      <alignment horizontal="center"/>
    </xf>
    <xf numFmtId="20" fontId="17" fillId="5" borderId="12" xfId="0" applyNumberFormat="1" applyFont="1" applyFill="1" applyBorder="1" applyAlignment="1" applyProtection="1">
      <alignment horizontal="center"/>
      <protection locked="0"/>
    </xf>
    <xf numFmtId="167" fontId="17" fillId="6" borderId="12" xfId="0" applyNumberFormat="1" applyFont="1" applyFill="1" applyBorder="1" applyAlignment="1" applyProtection="1">
      <alignment horizontal="right"/>
      <protection locked="0"/>
    </xf>
    <xf numFmtId="166" fontId="17" fillId="3" borderId="12" xfId="0" applyNumberFormat="1" applyFont="1" applyFill="1" applyBorder="1" applyAlignment="1">
      <alignment horizontal="right"/>
    </xf>
    <xf numFmtId="1" fontId="17" fillId="3" borderId="12" xfId="0" applyNumberFormat="1" applyFont="1" applyFill="1" applyBorder="1"/>
    <xf numFmtId="166" fontId="17" fillId="3" borderId="12" xfId="0" applyNumberFormat="1" applyFont="1" applyFill="1" applyBorder="1" applyAlignment="1">
      <alignment horizontal="center"/>
    </xf>
    <xf numFmtId="166" fontId="17" fillId="0" borderId="12" xfId="0" applyNumberFormat="1" applyFont="1" applyBorder="1"/>
    <xf numFmtId="167" fontId="17" fillId="0" borderId="12" xfId="0" applyNumberFormat="1" applyFont="1" applyBorder="1"/>
    <xf numFmtId="0" fontId="25" fillId="4" borderId="0" xfId="0" applyFont="1" applyFill="1" applyAlignment="1">
      <alignment horizontal="center"/>
    </xf>
    <xf numFmtId="0" fontId="24" fillId="4" borderId="0" xfId="0" applyFont="1" applyFill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0" applyFont="1" applyBorder="1" applyAlignment="1">
      <alignment horizontal="center"/>
    </xf>
  </cellXfs>
  <cellStyles count="4">
    <cellStyle name="dataEntry" xfId="1" xr:uid="{00000000-0005-0000-0000-000000000000}"/>
    <cellStyle name="enter" xfId="2" xr:uid="{00000000-0005-0000-0000-000001000000}"/>
    <cellStyle name="Hyperlink" xfId="3" builtinId="8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32850" name="Picture 20" descr="LOGO_Alternate small">
          <a:extLst>
            <a:ext uri="{FF2B5EF4-FFF2-40B4-BE49-F238E27FC236}">
              <a16:creationId xmlns:a16="http://schemas.microsoft.com/office/drawing/2014/main" id="{00000000-0008-0000-0200-00005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42048" name="Picture 2" descr="LOGO_Alternate small">
          <a:extLst>
            <a:ext uri="{FF2B5EF4-FFF2-40B4-BE49-F238E27FC236}">
              <a16:creationId xmlns:a16="http://schemas.microsoft.com/office/drawing/2014/main" id="{00000000-0008-0000-0B00-000040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43072" name="Picture 2" descr="LOGO_Alternate small">
          <a:extLst>
            <a:ext uri="{FF2B5EF4-FFF2-40B4-BE49-F238E27FC236}">
              <a16:creationId xmlns:a16="http://schemas.microsoft.com/office/drawing/2014/main" id="{00000000-0008-0000-0C00-000040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44096" name="Picture 2" descr="LOGO_Alternate small">
          <a:extLst>
            <a:ext uri="{FF2B5EF4-FFF2-40B4-BE49-F238E27FC236}">
              <a16:creationId xmlns:a16="http://schemas.microsoft.com/office/drawing/2014/main" id="{00000000-0008-0000-0D00-000040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45139" name="Picture 21" descr="LOGO_Alternate small">
          <a:extLst>
            <a:ext uri="{FF2B5EF4-FFF2-40B4-BE49-F238E27FC236}">
              <a16:creationId xmlns:a16="http://schemas.microsoft.com/office/drawing/2014/main" id="{00000000-0008-0000-0E00-000053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33993" name="Picture 139" descr="LOGO_Alternate small">
          <a:extLst>
            <a:ext uri="{FF2B5EF4-FFF2-40B4-BE49-F238E27FC236}">
              <a16:creationId xmlns:a16="http://schemas.microsoft.com/office/drawing/2014/main" id="{00000000-0008-0000-0300-0000C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34880" name="Picture 2" descr="LOGO_Alternate small">
          <a:extLst>
            <a:ext uri="{FF2B5EF4-FFF2-40B4-BE49-F238E27FC236}">
              <a16:creationId xmlns:a16="http://schemas.microsoft.com/office/drawing/2014/main" id="{00000000-0008-0000-0400-000040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1</xdr:col>
      <xdr:colOff>238125</xdr:colOff>
      <xdr:row>5</xdr:row>
      <xdr:rowOff>152400</xdr:rowOff>
    </xdr:to>
    <xdr:pic>
      <xdr:nvPicPr>
        <xdr:cNvPr id="35904" name="Picture 2" descr="LOGO_Alternate small">
          <a:extLst>
            <a:ext uri="{FF2B5EF4-FFF2-40B4-BE49-F238E27FC236}">
              <a16:creationId xmlns:a16="http://schemas.microsoft.com/office/drawing/2014/main" id="{00000000-0008-0000-0500-000040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76200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36928" name="Picture 2" descr="LOGO_Alternate small">
          <a:extLst>
            <a:ext uri="{FF2B5EF4-FFF2-40B4-BE49-F238E27FC236}">
              <a16:creationId xmlns:a16="http://schemas.microsoft.com/office/drawing/2014/main" id="{00000000-0008-0000-0600-000040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37952" name="Picture 2" descr="LOGO_Alternate small">
          <a:extLst>
            <a:ext uri="{FF2B5EF4-FFF2-40B4-BE49-F238E27FC236}">
              <a16:creationId xmlns:a16="http://schemas.microsoft.com/office/drawing/2014/main" id="{00000000-0008-0000-0700-000040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38976" name="Picture 2" descr="LOGO_Alternate small">
          <a:extLst>
            <a:ext uri="{FF2B5EF4-FFF2-40B4-BE49-F238E27FC236}">
              <a16:creationId xmlns:a16="http://schemas.microsoft.com/office/drawing/2014/main" id="{00000000-0008-0000-0800-00004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40000" name="Picture 2" descr="LOGO_Alternate small">
          <a:extLst>
            <a:ext uri="{FF2B5EF4-FFF2-40B4-BE49-F238E27FC236}">
              <a16:creationId xmlns:a16="http://schemas.microsoft.com/office/drawing/2014/main" id="{00000000-0008-0000-0900-000040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247650</xdr:colOff>
      <xdr:row>5</xdr:row>
      <xdr:rowOff>123825</xdr:rowOff>
    </xdr:to>
    <xdr:pic>
      <xdr:nvPicPr>
        <xdr:cNvPr id="41024" name="Picture 2" descr="LOGO_Alternate small">
          <a:extLst>
            <a:ext uri="{FF2B5EF4-FFF2-40B4-BE49-F238E27FC236}">
              <a16:creationId xmlns:a16="http://schemas.microsoft.com/office/drawing/2014/main" id="{00000000-0008-0000-0A00-000040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4762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A1:D45"/>
  <sheetViews>
    <sheetView topLeftCell="A11" workbookViewId="0">
      <selection activeCell="C32" sqref="C32"/>
    </sheetView>
  </sheetViews>
  <sheetFormatPr defaultColWidth="9.140625" defaultRowHeight="12.75" x14ac:dyDescent="0.2"/>
  <cols>
    <col min="1" max="1" width="6.85546875" style="89" customWidth="1"/>
    <col min="2" max="2" width="9.140625" style="89"/>
    <col min="3" max="3" width="101.28515625" style="89" customWidth="1"/>
    <col min="4" max="4" width="9.140625" style="89"/>
    <col min="5" max="5" width="10.5703125" style="89" customWidth="1"/>
    <col min="6" max="16384" width="9.140625" style="89"/>
  </cols>
  <sheetData>
    <row r="1" spans="1:3" ht="23.25" x14ac:dyDescent="0.35">
      <c r="A1" s="201" t="s">
        <v>133</v>
      </c>
      <c r="C1" s="199"/>
    </row>
    <row r="3" spans="1:3" ht="18.75" x14ac:dyDescent="0.3">
      <c r="A3" s="246" t="s">
        <v>56</v>
      </c>
      <c r="B3" s="246"/>
      <c r="C3" s="246"/>
    </row>
    <row r="4" spans="1:3" x14ac:dyDescent="0.2">
      <c r="C4" s="155" t="s">
        <v>107</v>
      </c>
    </row>
    <row r="6" spans="1:3" ht="15.75" x14ac:dyDescent="0.25">
      <c r="A6" s="247" t="s">
        <v>54</v>
      </c>
      <c r="B6" s="247"/>
      <c r="C6" s="247"/>
    </row>
    <row r="7" spans="1:3" x14ac:dyDescent="0.2">
      <c r="A7" s="178" t="s">
        <v>69</v>
      </c>
      <c r="B7" s="89" t="s">
        <v>49</v>
      </c>
    </row>
    <row r="8" spans="1:3" x14ac:dyDescent="0.2">
      <c r="A8" s="178" t="s">
        <v>70</v>
      </c>
      <c r="B8" s="196" t="s">
        <v>130</v>
      </c>
    </row>
    <row r="9" spans="1:3" x14ac:dyDescent="0.2">
      <c r="C9" s="89" t="s">
        <v>53</v>
      </c>
    </row>
    <row r="11" spans="1:3" ht="15.75" x14ac:dyDescent="0.25">
      <c r="A11" s="198" t="s">
        <v>108</v>
      </c>
      <c r="B11" s="153"/>
      <c r="C11" s="197"/>
    </row>
    <row r="12" spans="1:3" x14ac:dyDescent="0.2">
      <c r="A12" s="178" t="s">
        <v>69</v>
      </c>
      <c r="B12" s="154" t="s">
        <v>55</v>
      </c>
    </row>
    <row r="13" spans="1:3" x14ac:dyDescent="0.2">
      <c r="A13" s="178"/>
      <c r="C13" s="155" t="s">
        <v>113</v>
      </c>
    </row>
    <row r="15" spans="1:3" x14ac:dyDescent="0.2">
      <c r="A15" s="178" t="s">
        <v>82</v>
      </c>
      <c r="B15" s="89" t="s">
        <v>131</v>
      </c>
    </row>
    <row r="16" spans="1:3" x14ac:dyDescent="0.2">
      <c r="C16" s="155" t="s">
        <v>68</v>
      </c>
    </row>
    <row r="17" spans="1:4" x14ac:dyDescent="0.2">
      <c r="C17" s="155" t="s">
        <v>83</v>
      </c>
    </row>
    <row r="18" spans="1:4" x14ac:dyDescent="0.2">
      <c r="C18" s="155" t="s">
        <v>84</v>
      </c>
    </row>
    <row r="19" spans="1:4" x14ac:dyDescent="0.2">
      <c r="C19" s="156" t="s">
        <v>80</v>
      </c>
    </row>
    <row r="20" spans="1:4" x14ac:dyDescent="0.2">
      <c r="C20" s="89" t="s">
        <v>81</v>
      </c>
    </row>
    <row r="21" spans="1:4" x14ac:dyDescent="0.2">
      <c r="C21" s="89" t="s">
        <v>88</v>
      </c>
    </row>
    <row r="23" spans="1:4" x14ac:dyDescent="0.2">
      <c r="A23" s="178" t="s">
        <v>127</v>
      </c>
      <c r="B23" s="155" t="s">
        <v>132</v>
      </c>
    </row>
    <row r="24" spans="1:4" x14ac:dyDescent="0.2">
      <c r="B24" s="160" t="s">
        <v>78</v>
      </c>
      <c r="C24" s="89" t="s">
        <v>134</v>
      </c>
      <c r="D24" s="155" t="s">
        <v>72</v>
      </c>
    </row>
    <row r="25" spans="1:4" x14ac:dyDescent="0.2">
      <c r="B25" s="160" t="s">
        <v>79</v>
      </c>
      <c r="C25" s="156" t="s">
        <v>89</v>
      </c>
    </row>
    <row r="26" spans="1:4" x14ac:dyDescent="0.2">
      <c r="C26" s="89" t="s">
        <v>109</v>
      </c>
    </row>
    <row r="27" spans="1:4" x14ac:dyDescent="0.2">
      <c r="C27" s="89" t="s">
        <v>110</v>
      </c>
    </row>
    <row r="28" spans="1:4" x14ac:dyDescent="0.2">
      <c r="B28" s="160" t="s">
        <v>94</v>
      </c>
      <c r="C28" s="89" t="s">
        <v>114</v>
      </c>
    </row>
    <row r="31" spans="1:4" ht="15.75" x14ac:dyDescent="0.25">
      <c r="A31" s="198" t="s">
        <v>126</v>
      </c>
      <c r="B31" s="153"/>
      <c r="C31" s="152"/>
    </row>
    <row r="32" spans="1:4" x14ac:dyDescent="0.2">
      <c r="A32" s="178"/>
      <c r="B32" s="154" t="s">
        <v>123</v>
      </c>
    </row>
    <row r="33" spans="1:3" x14ac:dyDescent="0.2">
      <c r="C33" s="154"/>
    </row>
    <row r="35" spans="1:3" x14ac:dyDescent="0.2">
      <c r="A35" s="89" t="s">
        <v>34</v>
      </c>
      <c r="C35" s="155"/>
    </row>
    <row r="36" spans="1:3" x14ac:dyDescent="0.2">
      <c r="A36" s="89" t="s">
        <v>125</v>
      </c>
    </row>
    <row r="37" spans="1:3" x14ac:dyDescent="0.2">
      <c r="C37" s="89" t="s">
        <v>124</v>
      </c>
    </row>
    <row r="39" spans="1:3" x14ac:dyDescent="0.2">
      <c r="B39" s="194"/>
    </row>
    <row r="40" spans="1:3" x14ac:dyDescent="0.2">
      <c r="B40" s="194"/>
    </row>
    <row r="41" spans="1:3" x14ac:dyDescent="0.2">
      <c r="B41" s="194"/>
    </row>
    <row r="42" spans="1:3" x14ac:dyDescent="0.2">
      <c r="B42" s="194"/>
    </row>
    <row r="43" spans="1:3" x14ac:dyDescent="0.2">
      <c r="B43" s="194"/>
    </row>
    <row r="44" spans="1:3" x14ac:dyDescent="0.2">
      <c r="B44" s="194"/>
    </row>
    <row r="45" spans="1:3" ht="12.75" customHeight="1" x14ac:dyDescent="0.2">
      <c r="B45" s="160"/>
      <c r="C45" s="195"/>
    </row>
  </sheetData>
  <mergeCells count="2">
    <mergeCell ref="A3:C3"/>
    <mergeCell ref="A6:C6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AF72"/>
  <sheetViews>
    <sheetView zoomScaleNormal="75" workbookViewId="0">
      <selection activeCell="AD16" sqref="AD16"/>
    </sheetView>
  </sheetViews>
  <sheetFormatPr defaultColWidth="8.85546875" defaultRowHeight="12.75" x14ac:dyDescent="0.2"/>
  <cols>
    <col min="1" max="1" width="12.140625" style="1" customWidth="1"/>
    <col min="2" max="2" width="10.140625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9.140625" hidden="1" customWidth="1"/>
    <col min="20" max="20" width="6.140625" style="2" customWidth="1"/>
    <col min="21" max="23" width="4.140625" style="1" customWidth="1"/>
    <col min="24" max="24" width="5.5703125" style="1" customWidth="1"/>
    <col min="25" max="25" width="6.42578125" style="35" hidden="1" customWidth="1"/>
    <col min="26" max="27" width="5.28515625" style="1" customWidth="1"/>
    <col min="28" max="28" width="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09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3+sheet_end_date_p07</f>
        <v>46195</v>
      </c>
      <c r="V3" s="38"/>
      <c r="W3" s="39"/>
      <c r="X3" s="108" t="s">
        <v>106</v>
      </c>
      <c r="Y3" s="40"/>
      <c r="Z3" s="130">
        <f>A32</f>
        <v>46220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1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"/>
      <c r="B8" s="20"/>
      <c r="C8" s="117" t="s">
        <v>7</v>
      </c>
      <c r="D8" s="118"/>
      <c r="E8" s="118"/>
      <c r="F8" s="119" t="s">
        <v>8</v>
      </c>
      <c r="G8" s="118"/>
      <c r="H8" s="21"/>
      <c r="I8" s="46" t="s">
        <v>59</v>
      </c>
      <c r="J8" s="21"/>
      <c r="K8" s="13"/>
      <c r="L8" s="22"/>
      <c r="M8" s="47" t="s">
        <v>9</v>
      </c>
      <c r="N8" s="48"/>
      <c r="O8" s="48"/>
      <c r="P8" s="52"/>
      <c r="Q8" s="15"/>
      <c r="R8" s="15"/>
      <c r="S8" s="15"/>
      <c r="T8" s="149"/>
      <c r="U8" s="125" t="s">
        <v>60</v>
      </c>
      <c r="V8" s="126"/>
      <c r="W8" s="116" t="s">
        <v>61</v>
      </c>
      <c r="X8" s="125"/>
      <c r="Y8" s="52" t="s">
        <v>10</v>
      </c>
      <c r="Z8" s="124" t="s">
        <v>11</v>
      </c>
      <c r="AA8" s="23"/>
      <c r="AB8" s="24"/>
    </row>
    <row r="9" spans="1:29" s="17" customFormat="1" ht="21.75" customHeight="1" x14ac:dyDescent="0.2">
      <c r="A9" s="121" t="s">
        <v>12</v>
      </c>
      <c r="B9" s="121" t="s">
        <v>13</v>
      </c>
      <c r="C9" s="121" t="s">
        <v>14</v>
      </c>
      <c r="D9" s="121" t="s">
        <v>15</v>
      </c>
      <c r="E9" s="121" t="s">
        <v>105</v>
      </c>
      <c r="F9" s="121" t="s">
        <v>14</v>
      </c>
      <c r="G9" s="121" t="s">
        <v>15</v>
      </c>
      <c r="H9" s="121" t="s">
        <v>105</v>
      </c>
      <c r="I9" s="121" t="s">
        <v>17</v>
      </c>
      <c r="J9" s="121" t="s">
        <v>18</v>
      </c>
      <c r="K9" s="121" t="s">
        <v>19</v>
      </c>
      <c r="L9" s="121" t="s">
        <v>129</v>
      </c>
      <c r="M9" s="121" t="s">
        <v>71</v>
      </c>
      <c r="N9" s="121" t="s">
        <v>20</v>
      </c>
      <c r="O9" s="121" t="s">
        <v>22</v>
      </c>
      <c r="P9" s="121" t="s">
        <v>62</v>
      </c>
      <c r="Q9" s="121" t="s">
        <v>63</v>
      </c>
      <c r="R9" s="121" t="s">
        <v>64</v>
      </c>
      <c r="S9" s="121" t="s">
        <v>65</v>
      </c>
      <c r="T9" s="121" t="s">
        <v>21</v>
      </c>
      <c r="U9" s="121" t="s">
        <v>17</v>
      </c>
      <c r="V9" s="121" t="s">
        <v>18</v>
      </c>
      <c r="W9" s="121" t="s">
        <v>17</v>
      </c>
      <c r="X9" s="121" t="s">
        <v>18</v>
      </c>
      <c r="Y9" s="121"/>
      <c r="Z9" s="121" t="s">
        <v>20</v>
      </c>
      <c r="AA9" s="121" t="s">
        <v>22</v>
      </c>
      <c r="AB9" s="122" t="s">
        <v>23</v>
      </c>
    </row>
    <row r="10" spans="1:29" s="89" customFormat="1" x14ac:dyDescent="0.2">
      <c r="A10" s="68">
        <f>U3</f>
        <v>46195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67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46196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46197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46198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46199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100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102"/>
      <c r="D15" s="102"/>
      <c r="E15" s="102"/>
      <c r="F15" s="102"/>
      <c r="G15" s="102"/>
      <c r="H15" s="71"/>
      <c r="I15" s="72"/>
      <c r="J15" s="73"/>
      <c r="K15" s="92"/>
      <c r="L15" s="143"/>
      <c r="M15" s="144"/>
      <c r="N15" s="145"/>
      <c r="O15" s="146"/>
      <c r="P15" s="93"/>
      <c r="Q15" s="79"/>
      <c r="R15" s="80"/>
      <c r="S15" s="81"/>
      <c r="T15" s="94"/>
      <c r="U15" s="83"/>
      <c r="V15" s="83"/>
      <c r="W15" s="83"/>
      <c r="X15" s="83"/>
      <c r="Y15" s="131"/>
      <c r="Z15" s="95"/>
      <c r="AA15" s="96"/>
      <c r="AB15" s="94"/>
    </row>
    <row r="16" spans="1:29" s="89" customFormat="1" x14ac:dyDescent="0.2">
      <c r="A16" s="68">
        <f>A14+3</f>
        <v>46202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>D16-C16</f>
        <v>0.14583333333333337</v>
      </c>
      <c r="F16" s="70">
        <f>end_lunch</f>
        <v>0.5625</v>
      </c>
      <c r="G16" s="70">
        <f>end_time</f>
        <v>0.70833333333333337</v>
      </c>
      <c r="H16" s="71">
        <f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67"/>
      <c r="M16" s="75"/>
      <c r="N16" s="76"/>
      <c r="O16" s="77"/>
      <c r="P16" s="78">
        <f>IF(ISNA(MATCH($M16,{2,3,4,5,6,7,10},0)),0,$Q16)</f>
        <v>0</v>
      </c>
      <c r="Q16" s="79">
        <f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46203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>(N17*60)+O17</f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46204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46205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46206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100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90"/>
      <c r="B21" s="91"/>
      <c r="C21" s="102"/>
      <c r="D21" s="102"/>
      <c r="E21" s="102"/>
      <c r="F21" s="102"/>
      <c r="G21" s="102"/>
      <c r="H21" s="71"/>
      <c r="I21" s="72"/>
      <c r="J21" s="73"/>
      <c r="K21" s="92"/>
      <c r="L21" s="144"/>
      <c r="M21" s="144"/>
      <c r="N21" s="145"/>
      <c r="O21" s="146"/>
      <c r="P21" s="93"/>
      <c r="Q21" s="97"/>
      <c r="R21" s="97"/>
      <c r="S21" s="93"/>
      <c r="T21" s="94"/>
      <c r="U21" s="98"/>
      <c r="V21" s="99"/>
      <c r="W21" s="98"/>
      <c r="X21" s="98"/>
      <c r="Y21" s="131"/>
      <c r="Z21" s="95"/>
      <c r="AA21" s="96"/>
      <c r="AB21" s="94"/>
    </row>
    <row r="22" spans="1:28" s="89" customFormat="1" x14ac:dyDescent="0.2">
      <c r="A22" s="68">
        <f>A20+3</f>
        <v>46209</v>
      </c>
      <c r="B22" s="69" t="s">
        <v>24</v>
      </c>
      <c r="C22" s="70">
        <f>start_time</f>
        <v>0.375</v>
      </c>
      <c r="D22" s="70">
        <f>start_lunch</f>
        <v>0.52083333333333337</v>
      </c>
      <c r="E22" s="102">
        <f>D22-C22</f>
        <v>0.14583333333333337</v>
      </c>
      <c r="F22" s="70">
        <f>end_lunch</f>
        <v>0.5625</v>
      </c>
      <c r="G22" s="70">
        <f>end_time</f>
        <v>0.70833333333333337</v>
      </c>
      <c r="H22" s="71">
        <f>(G22-F22)</f>
        <v>0.14583333333333337</v>
      </c>
      <c r="I22" s="72">
        <f>HOUR(E22+H22)</f>
        <v>7</v>
      </c>
      <c r="J22" s="73">
        <f>MINUTE(E22+H22)</f>
        <v>0</v>
      </c>
      <c r="K22" s="74">
        <f>I22*60+J22</f>
        <v>420</v>
      </c>
      <c r="L22" s="67"/>
      <c r="M22" s="75"/>
      <c r="N22" s="76"/>
      <c r="O22" s="77"/>
      <c r="P22" s="78">
        <f>IF(ISNA(MATCH($M22,{2,3,4,5,6,7,10},0)),0,$Q22)</f>
        <v>0</v>
      </c>
      <c r="Q22" s="79">
        <f>(N22*60)+O22</f>
        <v>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46210</v>
      </c>
      <c r="B23" s="69" t="s">
        <v>25</v>
      </c>
      <c r="C23" s="70">
        <f>start_time</f>
        <v>0.375</v>
      </c>
      <c r="D23" s="70">
        <f>start_lunch</f>
        <v>0.52083333333333337</v>
      </c>
      <c r="E23" s="102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67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46211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6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46212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6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46213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L26" s="100"/>
      <c r="M26" s="75"/>
      <c r="N26" s="76"/>
      <c r="O26" s="77"/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90"/>
      <c r="B27" s="91"/>
      <c r="C27" s="102"/>
      <c r="D27" s="102"/>
      <c r="E27" s="102"/>
      <c r="F27" s="102"/>
      <c r="G27" s="102"/>
      <c r="H27" s="71"/>
      <c r="I27" s="72"/>
      <c r="J27" s="73"/>
      <c r="K27" s="92"/>
      <c r="L27" s="143"/>
      <c r="M27" s="144"/>
      <c r="N27" s="145"/>
      <c r="O27" s="148"/>
      <c r="P27" s="93"/>
      <c r="Q27" s="97"/>
      <c r="R27" s="97"/>
      <c r="S27" s="101"/>
      <c r="T27" s="94"/>
      <c r="U27" s="98"/>
      <c r="V27" s="99"/>
      <c r="W27" s="98"/>
      <c r="X27" s="98"/>
      <c r="Y27" s="131"/>
      <c r="Z27" s="95"/>
      <c r="AA27" s="96"/>
      <c r="AB27" s="94"/>
    </row>
    <row r="28" spans="1:28" s="89" customFormat="1" x14ac:dyDescent="0.2">
      <c r="A28" s="68">
        <f>A26+3</f>
        <v>46216</v>
      </c>
      <c r="B28" s="69" t="s">
        <v>24</v>
      </c>
      <c r="C28" s="70">
        <f>start_time</f>
        <v>0.375</v>
      </c>
      <c r="D28" s="70">
        <f>start_lunch</f>
        <v>0.52083333333333337</v>
      </c>
      <c r="E28" s="102">
        <f>D28-C28</f>
        <v>0.14583333333333337</v>
      </c>
      <c r="F28" s="70">
        <f>end_lunch</f>
        <v>0.5625</v>
      </c>
      <c r="G28" s="70">
        <f>end_time</f>
        <v>0.70833333333333337</v>
      </c>
      <c r="H28" s="71">
        <f>(G28-F28)</f>
        <v>0.14583333333333337</v>
      </c>
      <c r="I28" s="72">
        <f>HOUR(E28+H28)</f>
        <v>7</v>
      </c>
      <c r="J28" s="73">
        <f>MINUTE(E28+H28)</f>
        <v>0</v>
      </c>
      <c r="K28" s="74">
        <f>I28*60+J28</f>
        <v>420</v>
      </c>
      <c r="L28" s="67"/>
      <c r="M28" s="75"/>
      <c r="N28" s="76"/>
      <c r="O28" s="77"/>
      <c r="P28" s="78">
        <f>IF(ISNA(MATCH($M28,{2,3,4,5,6,7,10},0)),0,$Q28)</f>
        <v>0</v>
      </c>
      <c r="Q28" s="79">
        <f>(N28*60)+O28</f>
        <v>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2">INT(ABS(Y28/60))</f>
        <v>0</v>
      </c>
      <c r="AA28" s="86">
        <f t="shared" ref="AA28:AA33" si="3">MOD(ABS(Y28),60)</f>
        <v>0</v>
      </c>
      <c r="AB28" s="87" t="str">
        <f t="shared" ref="AB28:AB33" si="4">IF(Y28 &lt;0,"DB","CR")</f>
        <v>CR</v>
      </c>
    </row>
    <row r="29" spans="1:28" s="89" customFormat="1" x14ac:dyDescent="0.2">
      <c r="A29" s="68">
        <f>A28+1</f>
        <v>46217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6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2"/>
        <v>0</v>
      </c>
      <c r="AA29" s="86">
        <f t="shared" si="3"/>
        <v>0</v>
      </c>
      <c r="AB29" s="87" t="str">
        <f t="shared" si="4"/>
        <v>CR</v>
      </c>
    </row>
    <row r="30" spans="1:28" s="89" customFormat="1" x14ac:dyDescent="0.2">
      <c r="A30" s="68">
        <f>A29+1</f>
        <v>46218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2"/>
        <v>0</v>
      </c>
      <c r="AA30" s="86">
        <f t="shared" si="3"/>
        <v>0</v>
      </c>
      <c r="AB30" s="87" t="str">
        <f t="shared" si="4"/>
        <v>CR</v>
      </c>
    </row>
    <row r="31" spans="1:28" s="89" customFormat="1" x14ac:dyDescent="0.2">
      <c r="A31" s="68">
        <f>A30+1</f>
        <v>46219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67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2"/>
        <v>0</v>
      </c>
      <c r="AA31" s="86">
        <f t="shared" si="3"/>
        <v>0</v>
      </c>
      <c r="AB31" s="87" t="str">
        <f t="shared" si="4"/>
        <v>CR</v>
      </c>
    </row>
    <row r="32" spans="1:28" s="89" customFormat="1" x14ac:dyDescent="0.2">
      <c r="A32" s="68">
        <f>A31+1</f>
        <v>46220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100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2"/>
        <v>0</v>
      </c>
      <c r="AA32" s="86">
        <f t="shared" si="3"/>
        <v>0</v>
      </c>
      <c r="AB32" s="87" t="str">
        <f t="shared" si="4"/>
        <v>CR</v>
      </c>
    </row>
    <row r="33" spans="1:32" ht="15.75" x14ac:dyDescent="0.25">
      <c r="H33" s="104" t="s">
        <v>66</v>
      </c>
      <c r="I33" s="139">
        <f>SUM(I10:I32)+INT(SUM(J10:J32)/60)</f>
        <v>140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0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2"/>
        <v>0</v>
      </c>
      <c r="AA33" s="135">
        <f t="shared" si="3"/>
        <v>0</v>
      </c>
      <c r="AB33" s="138" t="str">
        <f t="shared" si="4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26"/>
      <c r="I34" s="27"/>
      <c r="J34" s="17"/>
      <c r="K34" s="17"/>
      <c r="L34" s="29"/>
      <c r="M34" s="106" t="s">
        <v>104</v>
      </c>
      <c r="N34" s="85">
        <f>INT(ABS(SUM(P10:P32)/60))</f>
        <v>0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25:25" x14ac:dyDescent="0.2">
      <c r="Y49" s="10"/>
    </row>
    <row r="50" spans="25:25" x14ac:dyDescent="0.2">
      <c r="Y50" s="10"/>
    </row>
    <row r="51" spans="25:25" x14ac:dyDescent="0.2">
      <c r="Y51" s="10"/>
    </row>
    <row r="52" spans="25:25" x14ac:dyDescent="0.2">
      <c r="Y52" s="10"/>
    </row>
    <row r="53" spans="25:25" x14ac:dyDescent="0.2">
      <c r="Y53" s="10"/>
    </row>
    <row r="54" spans="25:25" x14ac:dyDescent="0.2">
      <c r="Y54" s="10"/>
    </row>
    <row r="55" spans="25:25" x14ac:dyDescent="0.2">
      <c r="Y55" s="10"/>
    </row>
    <row r="56" spans="25:25" x14ac:dyDescent="0.2">
      <c r="Y56" s="10"/>
    </row>
    <row r="57" spans="25:25" x14ac:dyDescent="0.2">
      <c r="Y57" s="10"/>
    </row>
    <row r="58" spans="25:25" x14ac:dyDescent="0.2">
      <c r="Y58" s="10"/>
    </row>
    <row r="59" spans="25:25" x14ac:dyDescent="0.2">
      <c r="Y59" s="10"/>
    </row>
    <row r="60" spans="25:25" x14ac:dyDescent="0.2">
      <c r="Y60" s="10"/>
    </row>
    <row r="61" spans="25:25" x14ac:dyDescent="0.2">
      <c r="Y61" s="10"/>
    </row>
    <row r="62" spans="25:25" x14ac:dyDescent="0.2">
      <c r="Y62" s="10"/>
    </row>
    <row r="63" spans="25:25" x14ac:dyDescent="0.2">
      <c r="Y63" s="10"/>
    </row>
    <row r="64" spans="25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</sheetData>
  <sheetProtection algorithmName="SHA-512" hashValue="ohlvspXn3HRKvE6qThqDtZ1+/GBbBbqSxOM7w9CG/pkszlmrXLXL+L+fQ/T7rY76efc5u49x09VxqeH1nKroKQ==" saltValue="4Vig1aXJaUL8oW4ujsLhew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dataValidations count="14">
    <dataValidation type="whole" allowBlank="1" showInputMessage="1" showErrorMessage="1" error="Enter a Leave Type number between 1 and 11" sqref="M15 M21 M27" xr:uid="{00000000-0002-0000-0900-000000000000}">
      <formula1>1</formula1>
      <formula2>11</formula2>
    </dataValidation>
    <dataValidation type="time" allowBlank="1" showInputMessage="1" showErrorMessage="1" error="Enter the time in 24 hour format, such as 14:00 for 2:00PM" sqref="C28:D32 C10:D14 C22:D26 F22:G26 F28:G32 F16:G20 C16:D20 F10:G14" xr:uid="{00000000-0002-0000-09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22:O26 O28:O32 O10:O14" xr:uid="{00000000-0002-0000-09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 N10" xr:uid="{00000000-0002-0000-09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9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24" xr:uid="{00000000-0002-0000-09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 N25" xr:uid="{00000000-0002-0000-09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4 N26" xr:uid="{00000000-0002-0000-09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10:M14 M16:M20 M22:M26 M28:M32" xr:uid="{00000000-0002-0000-09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6 N28" xr:uid="{00000000-0002-0000-09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7 N29" xr:uid="{00000000-0002-0000-09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9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31" xr:uid="{00000000-0002-0000-0900-00000C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 N32" xr:uid="{00000000-0002-0000-0900-00000D000000}">
      <formula1>0</formula1>
      <formula2>fri_hrs2</formula2>
    </dataValidation>
  </dataValidations>
  <pageMargins left="0.27559055118110237" right="0.27559055118110237" top="0.47244094488188976" bottom="0.47244094488188976" header="0.51181102362204722" footer="0.51181102362204722"/>
  <pageSetup paperSize="9" scale="96" orientation="landscape" blackAndWhite="1" r:id="rId1"/>
  <headerFooter alignWithMargins="0"/>
  <ignoredErrors>
    <ignoredError sqref="C10:G3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AF72"/>
  <sheetViews>
    <sheetView topLeftCell="A3" zoomScaleNormal="75" workbookViewId="0">
      <selection activeCell="AC9" sqref="AC9"/>
    </sheetView>
  </sheetViews>
  <sheetFormatPr defaultColWidth="8.85546875" defaultRowHeight="12.75" x14ac:dyDescent="0.2"/>
  <cols>
    <col min="1" max="1" width="12.140625" style="1" customWidth="1"/>
    <col min="2" max="2" width="10.140625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9.140625" hidden="1" customWidth="1"/>
    <col min="20" max="20" width="6.140625" style="2" customWidth="1"/>
    <col min="21" max="23" width="4.140625" style="1" customWidth="1"/>
    <col min="24" max="24" width="4.85546875" style="1" customWidth="1"/>
    <col min="25" max="25" width="6.42578125" style="35" hidden="1" customWidth="1"/>
    <col min="26" max="26" width="5.5703125" style="1" customWidth="1"/>
    <col min="27" max="27" width="5.28515625" style="1" customWidth="1"/>
    <col min="28" max="28" width="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09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3+sheet_end_date_p08</f>
        <v>46223</v>
      </c>
      <c r="V3" s="38"/>
      <c r="W3" s="39"/>
      <c r="X3" s="108" t="s">
        <v>106</v>
      </c>
      <c r="Y3" s="40"/>
      <c r="Z3" s="130">
        <f>A32</f>
        <v>46248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1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"/>
      <c r="B8" s="20"/>
      <c r="C8" s="117" t="s">
        <v>7</v>
      </c>
      <c r="D8" s="118"/>
      <c r="E8" s="118"/>
      <c r="F8" s="119" t="s">
        <v>8</v>
      </c>
      <c r="G8" s="118"/>
      <c r="H8" s="21"/>
      <c r="I8" s="46" t="s">
        <v>59</v>
      </c>
      <c r="J8" s="21"/>
      <c r="K8" s="13"/>
      <c r="L8" s="22"/>
      <c r="M8" s="47" t="s">
        <v>9</v>
      </c>
      <c r="N8" s="48"/>
      <c r="O8" s="48"/>
      <c r="P8" s="52"/>
      <c r="Q8"/>
      <c r="R8"/>
      <c r="T8" s="149"/>
      <c r="U8" s="125" t="s">
        <v>60</v>
      </c>
      <c r="V8" s="126"/>
      <c r="W8" s="116" t="s">
        <v>61</v>
      </c>
      <c r="X8" s="125"/>
      <c r="Y8" s="52" t="s">
        <v>10</v>
      </c>
      <c r="Z8" s="124" t="s">
        <v>11</v>
      </c>
      <c r="AA8" s="23"/>
      <c r="AB8" s="24"/>
    </row>
    <row r="9" spans="1:29" s="17" customFormat="1" ht="21.75" customHeight="1" x14ac:dyDescent="0.2">
      <c r="A9" s="121" t="s">
        <v>12</v>
      </c>
      <c r="B9" s="121" t="s">
        <v>13</v>
      </c>
      <c r="C9" s="121" t="s">
        <v>14</v>
      </c>
      <c r="D9" s="121" t="s">
        <v>15</v>
      </c>
      <c r="E9" s="121" t="s">
        <v>105</v>
      </c>
      <c r="F9" s="121" t="s">
        <v>14</v>
      </c>
      <c r="G9" s="121" t="s">
        <v>15</v>
      </c>
      <c r="H9" s="121" t="s">
        <v>105</v>
      </c>
      <c r="I9" s="121" t="s">
        <v>17</v>
      </c>
      <c r="J9" s="121" t="s">
        <v>18</v>
      </c>
      <c r="K9" s="121" t="s">
        <v>19</v>
      </c>
      <c r="L9" s="121" t="s">
        <v>129</v>
      </c>
      <c r="M9" s="121" t="s">
        <v>71</v>
      </c>
      <c r="N9" s="121" t="s">
        <v>20</v>
      </c>
      <c r="O9" s="121" t="s">
        <v>22</v>
      </c>
      <c r="P9" s="121" t="s">
        <v>62</v>
      </c>
      <c r="Q9" s="121" t="s">
        <v>63</v>
      </c>
      <c r="R9" s="121" t="s">
        <v>64</v>
      </c>
      <c r="S9" s="121" t="s">
        <v>65</v>
      </c>
      <c r="T9" s="121" t="s">
        <v>21</v>
      </c>
      <c r="U9" s="121" t="s">
        <v>17</v>
      </c>
      <c r="V9" s="121" t="s">
        <v>18</v>
      </c>
      <c r="W9" s="121" t="s">
        <v>17</v>
      </c>
      <c r="X9" s="121" t="s">
        <v>18</v>
      </c>
      <c r="Y9" s="121"/>
      <c r="Z9" s="121" t="s">
        <v>20</v>
      </c>
      <c r="AA9" s="121" t="s">
        <v>22</v>
      </c>
      <c r="AB9" s="122" t="s">
        <v>23</v>
      </c>
    </row>
    <row r="10" spans="1:29" s="89" customFormat="1" x14ac:dyDescent="0.2">
      <c r="A10" s="68">
        <f>U3</f>
        <v>46223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67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46224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46225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46226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46227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100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102"/>
      <c r="D15" s="102"/>
      <c r="E15" s="102"/>
      <c r="F15" s="102"/>
      <c r="G15" s="102"/>
      <c r="H15" s="71"/>
      <c r="I15" s="72"/>
      <c r="J15" s="73"/>
      <c r="K15" s="92"/>
      <c r="L15" s="143"/>
      <c r="M15" s="144"/>
      <c r="N15" s="145"/>
      <c r="O15" s="146"/>
      <c r="P15" s="93"/>
      <c r="Q15" s="79"/>
      <c r="R15" s="80"/>
      <c r="S15" s="81"/>
      <c r="T15" s="94"/>
      <c r="U15" s="83"/>
      <c r="V15" s="83"/>
      <c r="W15" s="83"/>
      <c r="X15" s="83"/>
      <c r="Y15" s="131"/>
      <c r="Z15" s="95"/>
      <c r="AA15" s="96"/>
      <c r="AB15" s="94"/>
    </row>
    <row r="16" spans="1:29" s="89" customFormat="1" x14ac:dyDescent="0.2">
      <c r="A16" s="68">
        <f>A14+3</f>
        <v>46230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>D16-C16</f>
        <v>0.14583333333333337</v>
      </c>
      <c r="F16" s="70">
        <f>end_lunch</f>
        <v>0.5625</v>
      </c>
      <c r="G16" s="70">
        <f>end_time</f>
        <v>0.70833333333333337</v>
      </c>
      <c r="H16" s="71">
        <f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67"/>
      <c r="M16" s="75"/>
      <c r="N16" s="76"/>
      <c r="O16" s="77"/>
      <c r="P16" s="78">
        <f>IF(ISNA(MATCH($M16,{2,3,4,5,6,7,10},0)),0,$Q16)</f>
        <v>0</v>
      </c>
      <c r="Q16" s="79">
        <f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46231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>(N17*60)+O17</f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46232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46233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46234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100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90"/>
      <c r="B21" s="91"/>
      <c r="C21" s="102"/>
      <c r="D21" s="102"/>
      <c r="E21" s="102"/>
      <c r="F21" s="102"/>
      <c r="G21" s="102"/>
      <c r="H21" s="71"/>
      <c r="I21" s="72"/>
      <c r="J21" s="73"/>
      <c r="K21" s="92"/>
      <c r="L21" s="144"/>
      <c r="M21" s="144"/>
      <c r="N21" s="145"/>
      <c r="O21" s="146"/>
      <c r="P21" s="93"/>
      <c r="Q21" s="97"/>
      <c r="R21" s="97"/>
      <c r="S21" s="93"/>
      <c r="T21" s="94"/>
      <c r="U21" s="98"/>
      <c r="V21" s="99"/>
      <c r="W21" s="98"/>
      <c r="X21" s="98"/>
      <c r="Y21" s="131"/>
      <c r="Z21" s="95"/>
      <c r="AA21" s="96"/>
      <c r="AB21" s="94"/>
    </row>
    <row r="22" spans="1:28" s="89" customFormat="1" x14ac:dyDescent="0.2">
      <c r="A22" s="68">
        <f>A20+3</f>
        <v>46237</v>
      </c>
      <c r="B22" s="69" t="s">
        <v>24</v>
      </c>
      <c r="C22" s="70">
        <f>start_time</f>
        <v>0.375</v>
      </c>
      <c r="D22" s="70">
        <f>start_lunch</f>
        <v>0.52083333333333337</v>
      </c>
      <c r="E22" s="102">
        <f>D22-C22</f>
        <v>0.14583333333333337</v>
      </c>
      <c r="F22" s="70">
        <f>end_lunch</f>
        <v>0.5625</v>
      </c>
      <c r="G22" s="70">
        <f>end_time</f>
        <v>0.70833333333333337</v>
      </c>
      <c r="H22" s="71">
        <f>(G22-F22)</f>
        <v>0.14583333333333337</v>
      </c>
      <c r="I22" s="72">
        <f>HOUR(E22+H22)</f>
        <v>7</v>
      </c>
      <c r="J22" s="73">
        <f>MINUTE(E22+H22)</f>
        <v>0</v>
      </c>
      <c r="K22" s="74">
        <f>I22*60+J22</f>
        <v>420</v>
      </c>
      <c r="L22" s="67"/>
      <c r="M22" s="75"/>
      <c r="N22" s="76"/>
      <c r="O22" s="77"/>
      <c r="P22" s="78">
        <f>IF(ISNA(MATCH($M22,{2,3,4,5,6,7,10},0)),0,$Q22)</f>
        <v>0</v>
      </c>
      <c r="Q22" s="79">
        <f>(N22*60)+O22</f>
        <v>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46238</v>
      </c>
      <c r="B23" s="69" t="s">
        <v>25</v>
      </c>
      <c r="C23" s="70">
        <f>start_time</f>
        <v>0.375</v>
      </c>
      <c r="D23" s="70">
        <f>start_lunch</f>
        <v>0.52083333333333337</v>
      </c>
      <c r="E23" s="102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67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46239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6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46240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6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46241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L26" s="100"/>
      <c r="M26" s="75"/>
      <c r="N26" s="76"/>
      <c r="O26" s="77"/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90"/>
      <c r="B27" s="91"/>
      <c r="C27" s="102"/>
      <c r="D27" s="102"/>
      <c r="E27" s="102"/>
      <c r="F27" s="102"/>
      <c r="G27" s="102"/>
      <c r="H27" s="71"/>
      <c r="I27" s="72"/>
      <c r="J27" s="73"/>
      <c r="K27" s="92"/>
      <c r="L27" s="143"/>
      <c r="M27" s="144"/>
      <c r="N27" s="145"/>
      <c r="O27" s="148"/>
      <c r="P27" s="93"/>
      <c r="Q27" s="97"/>
      <c r="R27" s="97"/>
      <c r="S27" s="101"/>
      <c r="T27" s="94"/>
      <c r="U27" s="98"/>
      <c r="V27" s="99"/>
      <c r="W27" s="98"/>
      <c r="X27" s="98"/>
      <c r="Y27" s="131"/>
      <c r="Z27" s="95"/>
      <c r="AA27" s="96"/>
      <c r="AB27" s="94"/>
    </row>
    <row r="28" spans="1:28" s="89" customFormat="1" x14ac:dyDescent="0.2">
      <c r="A28" s="68">
        <f>A26+3</f>
        <v>46244</v>
      </c>
      <c r="B28" s="69" t="s">
        <v>24</v>
      </c>
      <c r="C28" s="70">
        <f>start_time</f>
        <v>0.375</v>
      </c>
      <c r="D28" s="70">
        <f>start_lunch</f>
        <v>0.52083333333333337</v>
      </c>
      <c r="E28" s="102">
        <f>D28-C28</f>
        <v>0.14583333333333337</v>
      </c>
      <c r="F28" s="70">
        <f>end_lunch</f>
        <v>0.5625</v>
      </c>
      <c r="G28" s="70">
        <f>end_time</f>
        <v>0.70833333333333337</v>
      </c>
      <c r="H28" s="71">
        <f>(G28-F28)</f>
        <v>0.14583333333333337</v>
      </c>
      <c r="I28" s="72">
        <f>HOUR(E28+H28)</f>
        <v>7</v>
      </c>
      <c r="J28" s="73">
        <f>MINUTE(E28+H28)</f>
        <v>0</v>
      </c>
      <c r="K28" s="74">
        <f>I28*60+J28</f>
        <v>420</v>
      </c>
      <c r="L28" s="67"/>
      <c r="M28" s="75"/>
      <c r="N28" s="76"/>
      <c r="O28" s="77"/>
      <c r="P28" s="78">
        <f>IF(ISNA(MATCH($M28,{2,3,4,5,6,7,10},0)),0,$Q28)</f>
        <v>0</v>
      </c>
      <c r="Q28" s="79">
        <f>(N28*60)+O28</f>
        <v>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2">INT(ABS(Y28/60))</f>
        <v>0</v>
      </c>
      <c r="AA28" s="86">
        <f t="shared" ref="AA28:AA33" si="3">MOD(ABS(Y28),60)</f>
        <v>0</v>
      </c>
      <c r="AB28" s="87" t="str">
        <f t="shared" ref="AB28:AB33" si="4">IF(Y28 &lt;0,"DB","CR")</f>
        <v>CR</v>
      </c>
    </row>
    <row r="29" spans="1:28" s="89" customFormat="1" x14ac:dyDescent="0.2">
      <c r="A29" s="68">
        <f>A28+1</f>
        <v>46245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6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2"/>
        <v>0</v>
      </c>
      <c r="AA29" s="86">
        <f t="shared" si="3"/>
        <v>0</v>
      </c>
      <c r="AB29" s="87" t="str">
        <f t="shared" si="4"/>
        <v>CR</v>
      </c>
    </row>
    <row r="30" spans="1:28" s="89" customFormat="1" x14ac:dyDescent="0.2">
      <c r="A30" s="68">
        <f>A29+1</f>
        <v>46246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2"/>
        <v>0</v>
      </c>
      <c r="AA30" s="86">
        <f t="shared" si="3"/>
        <v>0</v>
      </c>
      <c r="AB30" s="87" t="str">
        <f t="shared" si="4"/>
        <v>CR</v>
      </c>
    </row>
    <row r="31" spans="1:28" s="89" customFormat="1" x14ac:dyDescent="0.2">
      <c r="A31" s="68">
        <f>A30+1</f>
        <v>46247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67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2"/>
        <v>0</v>
      </c>
      <c r="AA31" s="86">
        <f t="shared" si="3"/>
        <v>0</v>
      </c>
      <c r="AB31" s="87" t="str">
        <f t="shared" si="4"/>
        <v>CR</v>
      </c>
    </row>
    <row r="32" spans="1:28" s="89" customFormat="1" x14ac:dyDescent="0.2">
      <c r="A32" s="68">
        <f>A31+1</f>
        <v>46248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100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2"/>
        <v>0</v>
      </c>
      <c r="AA32" s="86">
        <f t="shared" si="3"/>
        <v>0</v>
      </c>
      <c r="AB32" s="87" t="str">
        <f t="shared" si="4"/>
        <v>CR</v>
      </c>
    </row>
    <row r="33" spans="1:32" ht="15.75" x14ac:dyDescent="0.25">
      <c r="H33" s="104" t="s">
        <v>66</v>
      </c>
      <c r="I33" s="139">
        <f>SUM(I10:I32)+INT(SUM(J10:J32)/60)</f>
        <v>140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0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2"/>
        <v>0</v>
      </c>
      <c r="AA33" s="135">
        <f t="shared" si="3"/>
        <v>0</v>
      </c>
      <c r="AB33" s="138" t="str">
        <f t="shared" si="4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26"/>
      <c r="I34" s="27"/>
      <c r="J34" s="17"/>
      <c r="K34" s="17"/>
      <c r="L34" s="29"/>
      <c r="M34" s="106" t="s">
        <v>104</v>
      </c>
      <c r="N34" s="85">
        <f>INT(ABS(SUM(P10:P32)/60))</f>
        <v>0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25:25" x14ac:dyDescent="0.2">
      <c r="Y49" s="10"/>
    </row>
    <row r="50" spans="25:25" x14ac:dyDescent="0.2">
      <c r="Y50" s="10"/>
    </row>
    <row r="51" spans="25:25" x14ac:dyDescent="0.2">
      <c r="Y51" s="10"/>
    </row>
    <row r="52" spans="25:25" x14ac:dyDescent="0.2">
      <c r="Y52" s="10"/>
    </row>
    <row r="53" spans="25:25" x14ac:dyDescent="0.2">
      <c r="Y53" s="10"/>
    </row>
    <row r="54" spans="25:25" x14ac:dyDescent="0.2">
      <c r="Y54" s="10"/>
    </row>
    <row r="55" spans="25:25" x14ac:dyDescent="0.2">
      <c r="Y55" s="10"/>
    </row>
    <row r="56" spans="25:25" x14ac:dyDescent="0.2">
      <c r="Y56" s="10"/>
    </row>
    <row r="57" spans="25:25" x14ac:dyDescent="0.2">
      <c r="Y57" s="10"/>
    </row>
    <row r="58" spans="25:25" x14ac:dyDescent="0.2">
      <c r="Y58" s="10"/>
    </row>
    <row r="59" spans="25:25" x14ac:dyDescent="0.2">
      <c r="Y59" s="10"/>
    </row>
    <row r="60" spans="25:25" x14ac:dyDescent="0.2">
      <c r="Y60" s="10"/>
    </row>
    <row r="61" spans="25:25" x14ac:dyDescent="0.2">
      <c r="Y61" s="10"/>
    </row>
    <row r="62" spans="25:25" x14ac:dyDescent="0.2">
      <c r="Y62" s="10"/>
    </row>
    <row r="63" spans="25:25" x14ac:dyDescent="0.2">
      <c r="Y63" s="10"/>
    </row>
    <row r="64" spans="25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</sheetData>
  <sheetProtection algorithmName="SHA-512" hashValue="QcOxy8u1FJo3frt0FZ6dBkvitrKEfkTmxnXWFhY1Mvq0EpfcBCD1Pk43ymQzRz3EE3ef161xtpiriK8HbbTyjA==" saltValue="PiBE7cklya6Ow2rPNSlYhQ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dataValidations count="14">
    <dataValidation type="whole" allowBlank="1" showInputMessage="1" showErrorMessage="1" error="Enter a Leave Type number between 1 and 11" sqref="M15 M21 M27" xr:uid="{00000000-0002-0000-0A00-000000000000}">
      <formula1>1</formula1>
      <formula2>11</formula2>
    </dataValidation>
    <dataValidation type="time" allowBlank="1" showInputMessage="1" showErrorMessage="1" error="Enter the time in 24 hour format, such as 14:00 for 2:00PM" sqref="C28:D32 C10:D14 C22:D26 F22:G26 F28:G32 F16:G20 C16:D20 F10:G14" xr:uid="{00000000-0002-0000-0A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22:O26 O28:O32 O10:O14" xr:uid="{00000000-0002-0000-0A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 N10" xr:uid="{00000000-0002-0000-0A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A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24" xr:uid="{00000000-0002-0000-0A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 N25" xr:uid="{00000000-0002-0000-0A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4 N26" xr:uid="{00000000-0002-0000-0A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10:M14 M16:M20 M22:M26 M28:M32" xr:uid="{00000000-0002-0000-0A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6 N28" xr:uid="{00000000-0002-0000-0A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7 N29" xr:uid="{00000000-0002-0000-0A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A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31" xr:uid="{00000000-0002-0000-0A00-00000C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 N32" xr:uid="{00000000-0002-0000-0A00-00000D000000}">
      <formula1>0</formula1>
      <formula2>fri_hrs2</formula2>
    </dataValidation>
  </dataValidations>
  <pageMargins left="0.27559055118110237" right="0.27559055118110237" top="0.47244094488188976" bottom="0.47244094488188976" header="0.51181102362204722" footer="0.51181102362204722"/>
  <pageSetup paperSize="9" scale="96" orientation="landscape" blackAndWhite="1" r:id="rId1"/>
  <headerFooter alignWithMargins="0"/>
  <ignoredErrors>
    <ignoredError sqref="C10:G32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AF72"/>
  <sheetViews>
    <sheetView zoomScaleNormal="75" workbookViewId="0">
      <selection activeCell="AE32" sqref="AE32"/>
    </sheetView>
  </sheetViews>
  <sheetFormatPr defaultColWidth="8.85546875" defaultRowHeight="12.75" x14ac:dyDescent="0.2"/>
  <cols>
    <col min="1" max="1" width="12.140625" style="1" customWidth="1"/>
    <col min="2" max="2" width="10.140625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9.140625" hidden="1" customWidth="1"/>
    <col min="20" max="20" width="6.140625" style="2" customWidth="1"/>
    <col min="21" max="23" width="4.140625" style="1" customWidth="1"/>
    <col min="24" max="24" width="5.5703125" style="1" customWidth="1"/>
    <col min="25" max="25" width="6.42578125" style="35" hidden="1" customWidth="1"/>
    <col min="26" max="27" width="5.28515625" style="1" customWidth="1"/>
    <col min="28" max="28" width="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09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3+sheet_end_date_p09</f>
        <v>46251</v>
      </c>
      <c r="V3" s="38"/>
      <c r="W3" s="39"/>
      <c r="X3" s="108" t="s">
        <v>106</v>
      </c>
      <c r="Y3" s="40"/>
      <c r="Z3" s="130">
        <f>A32</f>
        <v>46276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1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"/>
      <c r="B8" s="20"/>
      <c r="C8" s="117" t="s">
        <v>7</v>
      </c>
      <c r="D8" s="118"/>
      <c r="E8" s="118"/>
      <c r="F8" s="119" t="s">
        <v>8</v>
      </c>
      <c r="G8" s="118"/>
      <c r="H8" s="21"/>
      <c r="I8" s="46" t="s">
        <v>59</v>
      </c>
      <c r="J8" s="21"/>
      <c r="K8" s="13"/>
      <c r="L8" s="22"/>
      <c r="M8" s="47" t="s">
        <v>9</v>
      </c>
      <c r="N8" s="48"/>
      <c r="O8" s="48"/>
      <c r="P8" s="52"/>
      <c r="Q8"/>
      <c r="R8"/>
      <c r="T8" s="149"/>
      <c r="U8" s="125" t="s">
        <v>60</v>
      </c>
      <c r="V8" s="126"/>
      <c r="W8" s="116" t="s">
        <v>61</v>
      </c>
      <c r="X8" s="125"/>
      <c r="Y8" s="52" t="s">
        <v>10</v>
      </c>
      <c r="Z8" s="124" t="s">
        <v>11</v>
      </c>
      <c r="AA8" s="23"/>
      <c r="AB8" s="24"/>
    </row>
    <row r="9" spans="1:29" s="17" customFormat="1" ht="21.75" customHeight="1" x14ac:dyDescent="0.2">
      <c r="A9" s="121" t="s">
        <v>12</v>
      </c>
      <c r="B9" s="121" t="s">
        <v>13</v>
      </c>
      <c r="C9" s="121" t="s">
        <v>14</v>
      </c>
      <c r="D9" s="121" t="s">
        <v>15</v>
      </c>
      <c r="E9" s="121" t="s">
        <v>105</v>
      </c>
      <c r="F9" s="121" t="s">
        <v>14</v>
      </c>
      <c r="G9" s="121" t="s">
        <v>15</v>
      </c>
      <c r="H9" s="121" t="s">
        <v>105</v>
      </c>
      <c r="I9" s="121" t="s">
        <v>17</v>
      </c>
      <c r="J9" s="121" t="s">
        <v>18</v>
      </c>
      <c r="K9" s="121" t="s">
        <v>19</v>
      </c>
      <c r="L9" s="121" t="s">
        <v>129</v>
      </c>
      <c r="M9" s="121" t="s">
        <v>71</v>
      </c>
      <c r="N9" s="121" t="s">
        <v>20</v>
      </c>
      <c r="O9" s="121" t="s">
        <v>22</v>
      </c>
      <c r="P9" s="121" t="s">
        <v>62</v>
      </c>
      <c r="Q9" s="121" t="s">
        <v>63</v>
      </c>
      <c r="R9" s="121" t="s">
        <v>64</v>
      </c>
      <c r="S9" s="121" t="s">
        <v>65</v>
      </c>
      <c r="T9" s="121" t="s">
        <v>21</v>
      </c>
      <c r="U9" s="121" t="s">
        <v>17</v>
      </c>
      <c r="V9" s="121" t="s">
        <v>18</v>
      </c>
      <c r="W9" s="121" t="s">
        <v>17</v>
      </c>
      <c r="X9" s="121" t="s">
        <v>18</v>
      </c>
      <c r="Y9" s="121"/>
      <c r="Z9" s="121" t="s">
        <v>20</v>
      </c>
      <c r="AA9" s="121" t="s">
        <v>22</v>
      </c>
      <c r="AB9" s="122" t="s">
        <v>23</v>
      </c>
    </row>
    <row r="10" spans="1:29" s="89" customFormat="1" x14ac:dyDescent="0.2">
      <c r="A10" s="68">
        <f>U3</f>
        <v>46251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67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46252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46253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46254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46255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100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102"/>
      <c r="D15" s="102"/>
      <c r="E15" s="102"/>
      <c r="F15" s="102"/>
      <c r="G15" s="102"/>
      <c r="H15" s="71"/>
      <c r="I15" s="72"/>
      <c r="J15" s="73"/>
      <c r="K15" s="92"/>
      <c r="L15" s="143"/>
      <c r="M15" s="144"/>
      <c r="N15" s="145"/>
      <c r="O15" s="146"/>
      <c r="P15" s="93"/>
      <c r="Q15" s="79"/>
      <c r="R15" s="80"/>
      <c r="S15" s="81"/>
      <c r="T15" s="94"/>
      <c r="U15" s="83"/>
      <c r="V15" s="83"/>
      <c r="W15" s="83"/>
      <c r="X15" s="83"/>
      <c r="Y15" s="131"/>
      <c r="Z15" s="95"/>
      <c r="AA15" s="96"/>
      <c r="AB15" s="94"/>
    </row>
    <row r="16" spans="1:29" s="89" customFormat="1" x14ac:dyDescent="0.2">
      <c r="A16" s="68">
        <f>A14+3</f>
        <v>46258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>D16-C16</f>
        <v>0.14583333333333337</v>
      </c>
      <c r="F16" s="70">
        <f>end_lunch</f>
        <v>0.5625</v>
      </c>
      <c r="G16" s="70">
        <f>end_time</f>
        <v>0.70833333333333337</v>
      </c>
      <c r="H16" s="71">
        <f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67"/>
      <c r="M16" s="75"/>
      <c r="N16" s="76"/>
      <c r="O16" s="77"/>
      <c r="P16" s="78">
        <f>IF(ISNA(MATCH($M16,{2,3,4,5,6,7,10},0)),0,$Q16)</f>
        <v>0</v>
      </c>
      <c r="Q16" s="79">
        <f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46259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>(N17*60)+O17</f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46260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46261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46262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100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90"/>
      <c r="B21" s="91"/>
      <c r="C21" s="102"/>
      <c r="D21" s="102"/>
      <c r="E21" s="102"/>
      <c r="F21" s="102"/>
      <c r="G21" s="102"/>
      <c r="H21" s="71"/>
      <c r="I21" s="72"/>
      <c r="J21" s="73"/>
      <c r="K21" s="92"/>
      <c r="L21" s="144"/>
      <c r="M21" s="144"/>
      <c r="N21" s="145"/>
      <c r="O21" s="146"/>
      <c r="P21" s="93"/>
      <c r="Q21" s="97"/>
      <c r="R21" s="97"/>
      <c r="S21" s="93"/>
      <c r="T21" s="94"/>
      <c r="U21" s="98"/>
      <c r="V21" s="99"/>
      <c r="W21" s="98"/>
      <c r="X21" s="98"/>
      <c r="Y21" s="131"/>
      <c r="Z21" s="95"/>
      <c r="AA21" s="96"/>
      <c r="AB21" s="94"/>
    </row>
    <row r="22" spans="1:28" s="89" customFormat="1" x14ac:dyDescent="0.2">
      <c r="A22" s="68">
        <f>A20+3</f>
        <v>46265</v>
      </c>
      <c r="B22" s="69" t="s">
        <v>24</v>
      </c>
      <c r="C22" s="70">
        <f>start_time</f>
        <v>0.375</v>
      </c>
      <c r="D22" s="70">
        <f>start_lunch</f>
        <v>0.52083333333333337</v>
      </c>
      <c r="E22" s="102">
        <f>D22-C22</f>
        <v>0.14583333333333337</v>
      </c>
      <c r="F22" s="70">
        <f>end_lunch</f>
        <v>0.5625</v>
      </c>
      <c r="G22" s="70">
        <f>end_time</f>
        <v>0.70833333333333337</v>
      </c>
      <c r="H22" s="71">
        <f>(G22-F22)</f>
        <v>0.14583333333333337</v>
      </c>
      <c r="I22" s="72">
        <f>HOUR(E22+H22)</f>
        <v>7</v>
      </c>
      <c r="J22" s="73">
        <f>MINUTE(E22+H22)</f>
        <v>0</v>
      </c>
      <c r="K22" s="74">
        <f>I22*60+J22</f>
        <v>420</v>
      </c>
      <c r="L22" s="67"/>
      <c r="M22" s="75"/>
      <c r="N22" s="76"/>
      <c r="O22" s="77"/>
      <c r="P22" s="78">
        <f>IF(ISNA(MATCH($M22,{2,3,4,5,6,7,10},0)),0,$Q22)</f>
        <v>0</v>
      </c>
      <c r="Q22" s="79">
        <f>(N22*60)+O22</f>
        <v>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46266</v>
      </c>
      <c r="B23" s="69" t="s">
        <v>25</v>
      </c>
      <c r="C23" s="70">
        <f>start_time</f>
        <v>0.375</v>
      </c>
      <c r="D23" s="70">
        <f>start_lunch</f>
        <v>0.52083333333333337</v>
      </c>
      <c r="E23" s="102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67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46267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6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46268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6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46269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L26" s="100"/>
      <c r="M26" s="75"/>
      <c r="N26" s="76"/>
      <c r="O26" s="77"/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90"/>
      <c r="B27" s="91"/>
      <c r="C27" s="102"/>
      <c r="D27" s="102"/>
      <c r="E27" s="102"/>
      <c r="F27" s="102"/>
      <c r="G27" s="102"/>
      <c r="H27" s="71"/>
      <c r="I27" s="72"/>
      <c r="J27" s="73"/>
      <c r="K27" s="92"/>
      <c r="L27" s="143"/>
      <c r="M27" s="144"/>
      <c r="N27" s="145"/>
      <c r="O27" s="148"/>
      <c r="P27" s="93"/>
      <c r="Q27" s="97"/>
      <c r="R27" s="97"/>
      <c r="S27" s="101"/>
      <c r="T27" s="94"/>
      <c r="U27" s="98"/>
      <c r="V27" s="99"/>
      <c r="W27" s="98"/>
      <c r="X27" s="98"/>
      <c r="Y27" s="131"/>
      <c r="Z27" s="95"/>
      <c r="AA27" s="96"/>
      <c r="AB27" s="94"/>
    </row>
    <row r="28" spans="1:28" s="89" customFormat="1" x14ac:dyDescent="0.2">
      <c r="A28" s="68">
        <f>A26+3</f>
        <v>46272</v>
      </c>
      <c r="B28" s="69" t="s">
        <v>24</v>
      </c>
      <c r="C28" s="70">
        <f>start_time</f>
        <v>0.375</v>
      </c>
      <c r="D28" s="70">
        <f>start_lunch</f>
        <v>0.52083333333333337</v>
      </c>
      <c r="E28" s="102">
        <f>D28-C28</f>
        <v>0.14583333333333337</v>
      </c>
      <c r="F28" s="70">
        <f>end_lunch</f>
        <v>0.5625</v>
      </c>
      <c r="G28" s="70">
        <f>end_time</f>
        <v>0.70833333333333337</v>
      </c>
      <c r="H28" s="71">
        <f>(G28-F28)</f>
        <v>0.14583333333333337</v>
      </c>
      <c r="I28" s="72">
        <f>HOUR(E28+H28)</f>
        <v>7</v>
      </c>
      <c r="J28" s="73">
        <f>MINUTE(E28+H28)</f>
        <v>0</v>
      </c>
      <c r="K28" s="74">
        <f>I28*60+J28</f>
        <v>420</v>
      </c>
      <c r="L28" s="67"/>
      <c r="M28" s="75"/>
      <c r="N28" s="76"/>
      <c r="O28" s="77"/>
      <c r="P28" s="78">
        <f>IF(ISNA(MATCH($M28,{2,3,4,5,6,7,10},0)),0,$Q28)</f>
        <v>0</v>
      </c>
      <c r="Q28" s="79">
        <f>(N28*60)+O28</f>
        <v>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2">INT(ABS(Y28/60))</f>
        <v>0</v>
      </c>
      <c r="AA28" s="86">
        <f t="shared" ref="AA28:AA33" si="3">MOD(ABS(Y28),60)</f>
        <v>0</v>
      </c>
      <c r="AB28" s="87" t="str">
        <f t="shared" ref="AB28:AB33" si="4">IF(Y28 &lt;0,"DB","CR")</f>
        <v>CR</v>
      </c>
    </row>
    <row r="29" spans="1:28" s="89" customFormat="1" x14ac:dyDescent="0.2">
      <c r="A29" s="68">
        <f>A28+1</f>
        <v>46273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6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2"/>
        <v>0</v>
      </c>
      <c r="AA29" s="86">
        <f t="shared" si="3"/>
        <v>0</v>
      </c>
      <c r="AB29" s="87" t="str">
        <f t="shared" si="4"/>
        <v>CR</v>
      </c>
    </row>
    <row r="30" spans="1:28" s="89" customFormat="1" x14ac:dyDescent="0.2">
      <c r="A30" s="68">
        <f>A29+1</f>
        <v>46274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2"/>
        <v>0</v>
      </c>
      <c r="AA30" s="86">
        <f t="shared" si="3"/>
        <v>0</v>
      </c>
      <c r="AB30" s="87" t="str">
        <f t="shared" si="4"/>
        <v>CR</v>
      </c>
    </row>
    <row r="31" spans="1:28" s="89" customFormat="1" x14ac:dyDescent="0.2">
      <c r="A31" s="68">
        <f>A30+1</f>
        <v>46275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67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2"/>
        <v>0</v>
      </c>
      <c r="AA31" s="86">
        <f t="shared" si="3"/>
        <v>0</v>
      </c>
      <c r="AB31" s="87" t="str">
        <f t="shared" si="4"/>
        <v>CR</v>
      </c>
    </row>
    <row r="32" spans="1:28" s="89" customFormat="1" x14ac:dyDescent="0.2">
      <c r="A32" s="68">
        <f>A31+1</f>
        <v>46276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100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2"/>
        <v>0</v>
      </c>
      <c r="AA32" s="86">
        <f t="shared" si="3"/>
        <v>0</v>
      </c>
      <c r="AB32" s="87" t="str">
        <f t="shared" si="4"/>
        <v>CR</v>
      </c>
    </row>
    <row r="33" spans="1:32" ht="15.75" x14ac:dyDescent="0.25">
      <c r="H33" s="104" t="s">
        <v>66</v>
      </c>
      <c r="I33" s="139">
        <f>SUM(I10:I32)+INT(SUM(J10:J32)/60)</f>
        <v>140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0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2"/>
        <v>0</v>
      </c>
      <c r="AA33" s="135">
        <f t="shared" si="3"/>
        <v>0</v>
      </c>
      <c r="AB33" s="138" t="str">
        <f t="shared" si="4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26"/>
      <c r="I34" s="27"/>
      <c r="J34" s="17"/>
      <c r="K34" s="17"/>
      <c r="L34" s="29"/>
      <c r="M34" s="106" t="s">
        <v>104</v>
      </c>
      <c r="N34" s="85">
        <f>INT(ABS(SUM(P10:P32)/60))</f>
        <v>0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25:25" x14ac:dyDescent="0.2">
      <c r="Y49" s="10"/>
    </row>
    <row r="50" spans="25:25" x14ac:dyDescent="0.2">
      <c r="Y50" s="10"/>
    </row>
    <row r="51" spans="25:25" x14ac:dyDescent="0.2">
      <c r="Y51" s="10"/>
    </row>
    <row r="52" spans="25:25" x14ac:dyDescent="0.2">
      <c r="Y52" s="10"/>
    </row>
    <row r="53" spans="25:25" x14ac:dyDescent="0.2">
      <c r="Y53" s="10"/>
    </row>
    <row r="54" spans="25:25" x14ac:dyDescent="0.2">
      <c r="Y54" s="10"/>
    </row>
    <row r="55" spans="25:25" x14ac:dyDescent="0.2">
      <c r="Y55" s="10"/>
    </row>
    <row r="56" spans="25:25" x14ac:dyDescent="0.2">
      <c r="Y56" s="10"/>
    </row>
    <row r="57" spans="25:25" x14ac:dyDescent="0.2">
      <c r="Y57" s="10"/>
    </row>
    <row r="58" spans="25:25" x14ac:dyDescent="0.2">
      <c r="Y58" s="10"/>
    </row>
    <row r="59" spans="25:25" x14ac:dyDescent="0.2">
      <c r="Y59" s="10"/>
    </row>
    <row r="60" spans="25:25" x14ac:dyDescent="0.2">
      <c r="Y60" s="10"/>
    </row>
    <row r="61" spans="25:25" x14ac:dyDescent="0.2">
      <c r="Y61" s="10"/>
    </row>
    <row r="62" spans="25:25" x14ac:dyDescent="0.2">
      <c r="Y62" s="10"/>
    </row>
    <row r="63" spans="25:25" x14ac:dyDescent="0.2">
      <c r="Y63" s="10"/>
    </row>
    <row r="64" spans="25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</sheetData>
  <sheetProtection algorithmName="SHA-512" hashValue="mvwxJvc/eSfU8IHqlt9V2TSb75OX3+zwOs3/DZiTa+uBK+9TESm+j6+B9Vor/ZT1RidQxNhiz/opP9K4cbkIsA==" saltValue="UrQIl81WfYgvnMofqlpfPA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dataValidations count="14">
    <dataValidation type="whole" allowBlank="1" showInputMessage="1" showErrorMessage="1" error="Enter a Leave Type number between 1 and 11" sqref="M15 M21 M27" xr:uid="{00000000-0002-0000-0B00-000000000000}">
      <formula1>1</formula1>
      <formula2>11</formula2>
    </dataValidation>
    <dataValidation type="time" allowBlank="1" showInputMessage="1" showErrorMessage="1" error="Enter the time in 24 hour format, such as 14:00 for 2:00PM" sqref="F10:G14 F28:G32 C28:D32 F22:G26 C10:D14 F16:G20 C22:D26 C16:D20" xr:uid="{00000000-0002-0000-0B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22:O26 O28:O32 O10:O14" xr:uid="{00000000-0002-0000-0B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 N10" xr:uid="{00000000-0002-0000-0B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B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24" xr:uid="{00000000-0002-0000-0B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 N25" xr:uid="{00000000-0002-0000-0B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4 N26" xr:uid="{00000000-0002-0000-0B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10:M14 M16:M20 M22:M26 M28:M32" xr:uid="{00000000-0002-0000-0B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6 N28" xr:uid="{00000000-0002-0000-0B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7 N29" xr:uid="{00000000-0002-0000-0B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B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31" xr:uid="{00000000-0002-0000-0B00-00000C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 N32" xr:uid="{00000000-0002-0000-0B00-00000D000000}">
      <formula1>0</formula1>
      <formula2>fri_hrs2</formula2>
    </dataValidation>
  </dataValidations>
  <pageMargins left="0.27559055118110237" right="0.27559055118110237" top="0.47244094488188976" bottom="0.47244094488188976" header="0.51181102362204722" footer="0.51181102362204722"/>
  <pageSetup paperSize="9" scale="96" orientation="landscape" blackAndWhite="1" r:id="rId1"/>
  <headerFooter alignWithMargins="0"/>
  <ignoredErrors>
    <ignoredError sqref="E11:E17 E10 E18:E32 F10:G32 C16:C17 C22:C26 C28:C32 C18:C20 D10:D32 C10:C14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AF72"/>
  <sheetViews>
    <sheetView zoomScaleNormal="75" workbookViewId="0">
      <selection activeCell="AC32" sqref="AC32"/>
    </sheetView>
  </sheetViews>
  <sheetFormatPr defaultColWidth="8.85546875" defaultRowHeight="12.75" x14ac:dyDescent="0.2"/>
  <cols>
    <col min="1" max="1" width="12.140625" style="1" customWidth="1"/>
    <col min="2" max="2" width="10.7109375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9.140625" hidden="1" customWidth="1"/>
    <col min="20" max="20" width="6.140625" style="2" customWidth="1"/>
    <col min="21" max="23" width="4.140625" style="1" customWidth="1"/>
    <col min="24" max="24" width="5.5703125" style="1" customWidth="1"/>
    <col min="25" max="25" width="6.42578125" style="35" hidden="1" customWidth="1"/>
    <col min="26" max="27" width="5.28515625" style="1" customWidth="1"/>
    <col min="28" max="28" width="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09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3+sheet_end_date_p10</f>
        <v>46279</v>
      </c>
      <c r="V3" s="38"/>
      <c r="W3" s="39"/>
      <c r="X3" s="108" t="s">
        <v>106</v>
      </c>
      <c r="Y3" s="40"/>
      <c r="Z3" s="130">
        <f>A32</f>
        <v>46304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1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"/>
      <c r="B8" s="20"/>
      <c r="C8" s="117" t="s">
        <v>7</v>
      </c>
      <c r="D8" s="118"/>
      <c r="E8" s="118"/>
      <c r="F8" s="119" t="s">
        <v>8</v>
      </c>
      <c r="G8" s="118"/>
      <c r="H8" s="21"/>
      <c r="I8" s="46" t="s">
        <v>59</v>
      </c>
      <c r="J8" s="21"/>
      <c r="K8" s="13"/>
      <c r="L8" s="22"/>
      <c r="M8" s="47" t="s">
        <v>9</v>
      </c>
      <c r="N8" s="48"/>
      <c r="O8" s="48"/>
      <c r="P8" s="52"/>
      <c r="Q8" s="15"/>
      <c r="R8" s="15"/>
      <c r="S8" s="15"/>
      <c r="T8" s="149"/>
      <c r="U8" s="125" t="s">
        <v>60</v>
      </c>
      <c r="V8" s="126"/>
      <c r="W8" s="116" t="s">
        <v>61</v>
      </c>
      <c r="X8" s="125"/>
      <c r="Y8" s="52" t="s">
        <v>10</v>
      </c>
      <c r="Z8" s="124" t="s">
        <v>11</v>
      </c>
      <c r="AA8" s="23"/>
      <c r="AB8" s="24"/>
    </row>
    <row r="9" spans="1:29" s="17" customFormat="1" ht="21.75" customHeight="1" x14ac:dyDescent="0.2">
      <c r="A9" s="121" t="s">
        <v>12</v>
      </c>
      <c r="B9" s="121" t="s">
        <v>13</v>
      </c>
      <c r="C9" s="121" t="s">
        <v>14</v>
      </c>
      <c r="D9" s="121" t="s">
        <v>15</v>
      </c>
      <c r="E9" s="121" t="s">
        <v>105</v>
      </c>
      <c r="F9" s="121" t="s">
        <v>14</v>
      </c>
      <c r="G9" s="121" t="s">
        <v>15</v>
      </c>
      <c r="H9" s="121" t="s">
        <v>105</v>
      </c>
      <c r="I9" s="121" t="s">
        <v>17</v>
      </c>
      <c r="J9" s="121" t="s">
        <v>18</v>
      </c>
      <c r="K9" s="121" t="s">
        <v>19</v>
      </c>
      <c r="L9" s="121" t="s">
        <v>129</v>
      </c>
      <c r="M9" s="121" t="s">
        <v>71</v>
      </c>
      <c r="N9" s="121" t="s">
        <v>20</v>
      </c>
      <c r="O9" s="121" t="s">
        <v>22</v>
      </c>
      <c r="P9" s="121" t="s">
        <v>62</v>
      </c>
      <c r="Q9" s="121" t="s">
        <v>63</v>
      </c>
      <c r="R9" s="121" t="s">
        <v>64</v>
      </c>
      <c r="S9" s="121" t="s">
        <v>65</v>
      </c>
      <c r="T9" s="121" t="s">
        <v>21</v>
      </c>
      <c r="U9" s="121" t="s">
        <v>17</v>
      </c>
      <c r="V9" s="121" t="s">
        <v>18</v>
      </c>
      <c r="W9" s="121" t="s">
        <v>17</v>
      </c>
      <c r="X9" s="121" t="s">
        <v>18</v>
      </c>
      <c r="Y9" s="121"/>
      <c r="Z9" s="121" t="s">
        <v>20</v>
      </c>
      <c r="AA9" s="121" t="s">
        <v>22</v>
      </c>
      <c r="AB9" s="122" t="s">
        <v>23</v>
      </c>
    </row>
    <row r="10" spans="1:29" s="89" customFormat="1" x14ac:dyDescent="0.2">
      <c r="A10" s="68">
        <f>U3</f>
        <v>46279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67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46280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46281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46282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46283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100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102"/>
      <c r="D15" s="102"/>
      <c r="E15" s="102"/>
      <c r="F15" s="102"/>
      <c r="G15" s="102"/>
      <c r="H15" s="71"/>
      <c r="I15" s="72"/>
      <c r="J15" s="73"/>
      <c r="K15" s="92"/>
      <c r="L15" s="143"/>
      <c r="M15" s="144"/>
      <c r="N15" s="145"/>
      <c r="O15" s="146"/>
      <c r="P15" s="93"/>
      <c r="Q15" s="79"/>
      <c r="R15" s="80"/>
      <c r="S15" s="81"/>
      <c r="T15" s="94"/>
      <c r="U15" s="83"/>
      <c r="V15" s="83"/>
      <c r="W15" s="83"/>
      <c r="X15" s="83"/>
      <c r="Y15" s="131"/>
      <c r="Z15" s="95"/>
      <c r="AA15" s="96"/>
      <c r="AB15" s="94"/>
    </row>
    <row r="16" spans="1:29" s="89" customFormat="1" x14ac:dyDescent="0.2">
      <c r="A16" s="68">
        <f>A14+3</f>
        <v>46286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 t="shared" ref="E16" si="2">D16-C16</f>
        <v>0.14583333333333337</v>
      </c>
      <c r="F16" s="70">
        <f>end_lunch</f>
        <v>0.5625</v>
      </c>
      <c r="G16" s="70">
        <f>end_time</f>
        <v>0.70833333333333337</v>
      </c>
      <c r="H16" s="71">
        <f t="shared" ref="H16" si="3"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147"/>
      <c r="M16" s="75"/>
      <c r="N16" s="76"/>
      <c r="O16" s="77"/>
      <c r="P16" s="78">
        <f>IF(ISNA(MATCH($M16,{2,3,4,5,6,7,10},0)),0,$Q16)</f>
        <v>0</v>
      </c>
      <c r="Q16" s="79">
        <f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46287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>(N17*60)+O17</f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46288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46289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46290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100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90"/>
      <c r="B21" s="91"/>
      <c r="C21" s="102"/>
      <c r="D21" s="102"/>
      <c r="E21" s="102"/>
      <c r="F21" s="102"/>
      <c r="G21" s="102"/>
      <c r="H21" s="71"/>
      <c r="I21" s="72"/>
      <c r="J21" s="73"/>
      <c r="K21" s="92"/>
      <c r="L21" s="144"/>
      <c r="M21" s="144"/>
      <c r="N21" s="145"/>
      <c r="O21" s="146"/>
      <c r="P21" s="93"/>
      <c r="Q21" s="97"/>
      <c r="R21" s="97"/>
      <c r="S21" s="93"/>
      <c r="T21" s="94"/>
      <c r="U21" s="98"/>
      <c r="V21" s="99"/>
      <c r="W21" s="98"/>
      <c r="X21" s="98"/>
      <c r="Y21" s="131"/>
      <c r="Z21" s="95"/>
      <c r="AA21" s="96"/>
      <c r="AB21" s="94"/>
    </row>
    <row r="22" spans="1:28" s="89" customFormat="1" x14ac:dyDescent="0.2">
      <c r="A22" s="68">
        <f>A20+3</f>
        <v>46293</v>
      </c>
      <c r="B22" s="69" t="s">
        <v>24</v>
      </c>
      <c r="C22" s="70">
        <f>start_time</f>
        <v>0.375</v>
      </c>
      <c r="D22" s="70">
        <f>start_lunch</f>
        <v>0.52083333333333337</v>
      </c>
      <c r="E22" s="102">
        <f>D22-C22</f>
        <v>0.14583333333333337</v>
      </c>
      <c r="F22" s="70">
        <f>end_lunch</f>
        <v>0.5625</v>
      </c>
      <c r="G22" s="70">
        <f>end_time</f>
        <v>0.70833333333333337</v>
      </c>
      <c r="H22" s="71">
        <f>(G22-F22)</f>
        <v>0.14583333333333337</v>
      </c>
      <c r="I22" s="72">
        <f>HOUR(E22+H22)</f>
        <v>7</v>
      </c>
      <c r="J22" s="73">
        <f>MINUTE(E22+H22)</f>
        <v>0</v>
      </c>
      <c r="K22" s="74">
        <f>I22*60+J22</f>
        <v>420</v>
      </c>
      <c r="L22" s="67"/>
      <c r="M22" s="75"/>
      <c r="N22" s="76"/>
      <c r="O22" s="77"/>
      <c r="P22" s="78">
        <f>IF(ISNA(MATCH($M22,{2,3,4,5,6,7,10},0)),0,$Q22)</f>
        <v>0</v>
      </c>
      <c r="Q22" s="79">
        <f>(N22*60)+O22</f>
        <v>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46294</v>
      </c>
      <c r="B23" s="69" t="s">
        <v>25</v>
      </c>
      <c r="C23" s="70">
        <f>start_time</f>
        <v>0.375</v>
      </c>
      <c r="D23" s="70">
        <f>start_lunch</f>
        <v>0.52083333333333337</v>
      </c>
      <c r="E23" s="102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67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46295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6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46296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6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46297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L26" s="100"/>
      <c r="M26" s="75"/>
      <c r="N26" s="76"/>
      <c r="O26" s="77"/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90"/>
      <c r="B27" s="91"/>
      <c r="C27" s="102"/>
      <c r="D27" s="102"/>
      <c r="E27" s="102"/>
      <c r="F27" s="102"/>
      <c r="G27" s="102"/>
      <c r="H27" s="71"/>
      <c r="I27" s="72"/>
      <c r="J27" s="73"/>
      <c r="K27" s="92"/>
      <c r="L27" s="143"/>
      <c r="M27" s="144"/>
      <c r="N27" s="145"/>
      <c r="O27" s="148"/>
      <c r="P27" s="93"/>
      <c r="Q27" s="97"/>
      <c r="R27" s="97"/>
      <c r="S27" s="101"/>
      <c r="T27" s="94"/>
      <c r="U27" s="98"/>
      <c r="V27" s="99"/>
      <c r="W27" s="98"/>
      <c r="X27" s="98"/>
      <c r="Y27" s="131"/>
      <c r="Z27" s="95"/>
      <c r="AA27" s="96"/>
      <c r="AB27" s="94"/>
    </row>
    <row r="28" spans="1:28" s="89" customFormat="1" x14ac:dyDescent="0.2">
      <c r="A28" s="68">
        <f>A26+3</f>
        <v>46300</v>
      </c>
      <c r="B28" s="69" t="s">
        <v>24</v>
      </c>
      <c r="C28" s="70"/>
      <c r="D28" s="70"/>
      <c r="E28" s="102">
        <f>D28-C28</f>
        <v>0</v>
      </c>
      <c r="F28" s="70"/>
      <c r="G28" s="70"/>
      <c r="H28" s="71">
        <f>(G28-F28)</f>
        <v>0</v>
      </c>
      <c r="I28" s="72">
        <f>HOUR(E28+H28)</f>
        <v>0</v>
      </c>
      <c r="J28" s="73">
        <f>MINUTE(E28+H28)</f>
        <v>0</v>
      </c>
      <c r="K28" s="74">
        <f>I28*60+J28</f>
        <v>0</v>
      </c>
      <c r="L28" s="67" t="s">
        <v>95</v>
      </c>
      <c r="M28" s="75">
        <v>8</v>
      </c>
      <c r="N28" s="76">
        <v>7</v>
      </c>
      <c r="O28" s="77"/>
      <c r="P28" s="78">
        <f>IF(ISNA(MATCH($M28,{2,3,4,5,6,7,10},0)),0,$Q28)</f>
        <v>0</v>
      </c>
      <c r="Q28" s="79">
        <f>(N28*60)+O28</f>
        <v>420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4">INT(ABS(Y28/60))</f>
        <v>0</v>
      </c>
      <c r="AA28" s="86">
        <f t="shared" ref="AA28:AA33" si="5">MOD(ABS(Y28),60)</f>
        <v>0</v>
      </c>
      <c r="AB28" s="87" t="str">
        <f t="shared" ref="AB28:AB33" si="6">IF(Y28 &lt;0,"DB","CR")</f>
        <v>CR</v>
      </c>
    </row>
    <row r="29" spans="1:28" s="89" customFormat="1" x14ac:dyDescent="0.2">
      <c r="A29" s="68">
        <f>A28+1</f>
        <v>46301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6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4"/>
        <v>0</v>
      </c>
      <c r="AA29" s="86">
        <f t="shared" si="5"/>
        <v>0</v>
      </c>
      <c r="AB29" s="87" t="str">
        <f t="shared" si="6"/>
        <v>CR</v>
      </c>
    </row>
    <row r="30" spans="1:28" s="89" customFormat="1" x14ac:dyDescent="0.2">
      <c r="A30" s="68">
        <f>A29+1</f>
        <v>46302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4"/>
        <v>0</v>
      </c>
      <c r="AA30" s="86">
        <f t="shared" si="5"/>
        <v>0</v>
      </c>
      <c r="AB30" s="87" t="str">
        <f t="shared" si="6"/>
        <v>CR</v>
      </c>
    </row>
    <row r="31" spans="1:28" s="89" customFormat="1" x14ac:dyDescent="0.2">
      <c r="A31" s="68">
        <f>A30+1</f>
        <v>46303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67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4"/>
        <v>0</v>
      </c>
      <c r="AA31" s="86">
        <f t="shared" si="5"/>
        <v>0</v>
      </c>
      <c r="AB31" s="87" t="str">
        <f t="shared" si="6"/>
        <v>CR</v>
      </c>
    </row>
    <row r="32" spans="1:28" s="89" customFormat="1" x14ac:dyDescent="0.2">
      <c r="A32" s="68">
        <f>A31+1</f>
        <v>46304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100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4"/>
        <v>0</v>
      </c>
      <c r="AA32" s="86">
        <f t="shared" si="5"/>
        <v>0</v>
      </c>
      <c r="AB32" s="87" t="str">
        <f t="shared" si="6"/>
        <v>CR</v>
      </c>
    </row>
    <row r="33" spans="1:32" ht="15.75" x14ac:dyDescent="0.25">
      <c r="H33" s="104" t="s">
        <v>66</v>
      </c>
      <c r="I33" s="139">
        <f>SUM(I10:I32)+INT(SUM(J10:J32)/60)</f>
        <v>133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7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4"/>
        <v>0</v>
      </c>
      <c r="AA33" s="135">
        <f t="shared" si="5"/>
        <v>0</v>
      </c>
      <c r="AB33" s="138" t="str">
        <f t="shared" si="6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26"/>
      <c r="I34" s="27"/>
      <c r="J34" s="17"/>
      <c r="K34" s="17"/>
      <c r="L34" s="29"/>
      <c r="M34" s="106" t="s">
        <v>104</v>
      </c>
      <c r="N34" s="85">
        <f>INT(ABS(SUM(P10:P32)/60))</f>
        <v>0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25:25" x14ac:dyDescent="0.2">
      <c r="Y49" s="10"/>
    </row>
    <row r="50" spans="25:25" x14ac:dyDescent="0.2">
      <c r="Y50" s="10"/>
    </row>
    <row r="51" spans="25:25" x14ac:dyDescent="0.2">
      <c r="Y51" s="10"/>
    </row>
    <row r="52" spans="25:25" x14ac:dyDescent="0.2">
      <c r="Y52" s="10"/>
    </row>
    <row r="53" spans="25:25" x14ac:dyDescent="0.2">
      <c r="Y53" s="10"/>
    </row>
    <row r="54" spans="25:25" x14ac:dyDescent="0.2">
      <c r="Y54" s="10"/>
    </row>
    <row r="55" spans="25:25" x14ac:dyDescent="0.2">
      <c r="Y55" s="10"/>
    </row>
    <row r="56" spans="25:25" x14ac:dyDescent="0.2">
      <c r="Y56" s="10"/>
    </row>
    <row r="57" spans="25:25" x14ac:dyDescent="0.2">
      <c r="Y57" s="10"/>
    </row>
    <row r="58" spans="25:25" x14ac:dyDescent="0.2">
      <c r="Y58" s="10"/>
    </row>
    <row r="59" spans="25:25" x14ac:dyDescent="0.2">
      <c r="Y59" s="10"/>
    </row>
    <row r="60" spans="25:25" x14ac:dyDescent="0.2">
      <c r="Y60" s="10"/>
    </row>
    <row r="61" spans="25:25" x14ac:dyDescent="0.2">
      <c r="Y61" s="10"/>
    </row>
    <row r="62" spans="25:25" x14ac:dyDescent="0.2">
      <c r="Y62" s="10"/>
    </row>
    <row r="63" spans="25:25" x14ac:dyDescent="0.2">
      <c r="Y63" s="10"/>
    </row>
    <row r="64" spans="25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</sheetData>
  <sheetProtection algorithmName="SHA-512" hashValue="eTclIBqd2enDimmt2xzQdWQoLDiSd7gA8ioNv2ikKqhIfwcNqtdoApExZTKDtitaW0dslCttbNrE7pymv41r4g==" saltValue="SZbKdP8CIPC1p2njplLcvQ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dataValidations count="14">
    <dataValidation type="whole" allowBlank="1" showInputMessage="1" showErrorMessage="1" error="Enter a Leave Type number between 1 and 11" sqref="M15 M21 M27" xr:uid="{00000000-0002-0000-0C00-000000000000}">
      <formula1>1</formula1>
      <formula2>11</formula2>
    </dataValidation>
    <dataValidation type="time" allowBlank="1" showInputMessage="1" showErrorMessage="1" error="Enter the time in 24 hour format, such as 14:00 for 2:00PM" sqref="C28:D32 C10:D14 F28:G32 C23:D26 F10:G14 C16:D20 F16:G20 F23:G26" xr:uid="{00000000-0002-0000-0C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22:O26 O28:O32 O10:O14" xr:uid="{00000000-0002-0000-0C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 N10" xr:uid="{00000000-0002-0000-0C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C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24 N28" xr:uid="{00000000-0002-0000-0C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 N25" xr:uid="{00000000-0002-0000-0C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4 N26" xr:uid="{00000000-0002-0000-0C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10:M14 M16:M20 M22:M26 M28:M32" xr:uid="{00000000-0002-0000-0C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6" xr:uid="{00000000-0002-0000-0C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7 N29" xr:uid="{00000000-0002-0000-0C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C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31" xr:uid="{00000000-0002-0000-0C00-00000C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 N32" xr:uid="{00000000-0002-0000-0C00-00000D000000}">
      <formula1>0</formula1>
      <formula2>fri_hrs2</formula2>
    </dataValidation>
  </dataValidations>
  <pageMargins left="0.27559055118110237" right="0.27559055118110237" top="0.47244094488188976" bottom="0.47244094488188976" header="0.51181102362204722" footer="0.51181102362204722"/>
  <pageSetup paperSize="9" scale="96" orientation="landscape" blackAndWhite="1" r:id="rId1"/>
  <headerFooter alignWithMargins="0"/>
  <ignoredErrors>
    <ignoredError sqref="E11:E14 E19:E32 E18 E17 E16 E10 F10:G33 C10:D14 C16:D20 C22:D26 C29:D32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A1:AF72"/>
  <sheetViews>
    <sheetView zoomScaleNormal="75" workbookViewId="0">
      <selection activeCell="AD18" sqref="AD18"/>
    </sheetView>
  </sheetViews>
  <sheetFormatPr defaultColWidth="8.85546875" defaultRowHeight="12.75" x14ac:dyDescent="0.2"/>
  <cols>
    <col min="1" max="1" width="12.140625" style="1" customWidth="1"/>
    <col min="2" max="2" width="10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9.140625" hidden="1" customWidth="1"/>
    <col min="20" max="20" width="6.140625" style="2" customWidth="1"/>
    <col min="21" max="23" width="4.140625" style="1" customWidth="1"/>
    <col min="24" max="24" width="5.5703125" style="1" customWidth="1"/>
    <col min="25" max="25" width="6.42578125" style="35" hidden="1" customWidth="1"/>
    <col min="26" max="27" width="5.28515625" style="1" customWidth="1"/>
    <col min="28" max="28" width="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09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3+sheet_end_date_p11</f>
        <v>46307</v>
      </c>
      <c r="V3" s="38"/>
      <c r="W3" s="39"/>
      <c r="X3" s="108" t="s">
        <v>106</v>
      </c>
      <c r="Y3" s="40"/>
      <c r="Z3" s="130">
        <f>A32</f>
        <v>46332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1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"/>
      <c r="B8" s="20"/>
      <c r="C8" s="117" t="s">
        <v>7</v>
      </c>
      <c r="D8" s="118"/>
      <c r="E8" s="118"/>
      <c r="F8" s="119" t="s">
        <v>8</v>
      </c>
      <c r="G8" s="118"/>
      <c r="H8" s="21"/>
      <c r="I8" s="46" t="s">
        <v>59</v>
      </c>
      <c r="J8" s="21"/>
      <c r="K8" s="13"/>
      <c r="L8" s="22"/>
      <c r="M8" s="47" t="s">
        <v>9</v>
      </c>
      <c r="N8" s="48"/>
      <c r="O8" s="48"/>
      <c r="P8" s="52"/>
      <c r="Q8" s="15"/>
      <c r="R8" s="15"/>
      <c r="S8" s="15"/>
      <c r="T8" s="149"/>
      <c r="U8" s="125" t="s">
        <v>60</v>
      </c>
      <c r="V8" s="126"/>
      <c r="W8" s="116" t="s">
        <v>61</v>
      </c>
      <c r="X8" s="125"/>
      <c r="Y8" s="52" t="s">
        <v>10</v>
      </c>
      <c r="Z8" s="124" t="s">
        <v>11</v>
      </c>
      <c r="AA8" s="23"/>
      <c r="AB8" s="24"/>
    </row>
    <row r="9" spans="1:29" s="17" customFormat="1" ht="21.75" customHeight="1" x14ac:dyDescent="0.2">
      <c r="A9" s="121" t="s">
        <v>12</v>
      </c>
      <c r="B9" s="121" t="s">
        <v>13</v>
      </c>
      <c r="C9" s="121" t="s">
        <v>14</v>
      </c>
      <c r="D9" s="121" t="s">
        <v>15</v>
      </c>
      <c r="E9" s="121" t="s">
        <v>105</v>
      </c>
      <c r="F9" s="121" t="s">
        <v>14</v>
      </c>
      <c r="G9" s="121" t="s">
        <v>15</v>
      </c>
      <c r="H9" s="121" t="s">
        <v>105</v>
      </c>
      <c r="I9" s="121" t="s">
        <v>17</v>
      </c>
      <c r="J9" s="121" t="s">
        <v>18</v>
      </c>
      <c r="K9" s="121" t="s">
        <v>19</v>
      </c>
      <c r="L9" s="121" t="s">
        <v>129</v>
      </c>
      <c r="M9" s="121" t="s">
        <v>71</v>
      </c>
      <c r="N9" s="121" t="s">
        <v>20</v>
      </c>
      <c r="O9" s="121" t="s">
        <v>22</v>
      </c>
      <c r="P9" s="121" t="s">
        <v>62</v>
      </c>
      <c r="Q9" s="121" t="s">
        <v>63</v>
      </c>
      <c r="R9" s="121" t="s">
        <v>64</v>
      </c>
      <c r="S9" s="121" t="s">
        <v>65</v>
      </c>
      <c r="T9" s="121" t="s">
        <v>21</v>
      </c>
      <c r="U9" s="121" t="s">
        <v>17</v>
      </c>
      <c r="V9" s="121" t="s">
        <v>18</v>
      </c>
      <c r="W9" s="121" t="s">
        <v>17</v>
      </c>
      <c r="X9" s="121" t="s">
        <v>18</v>
      </c>
      <c r="Y9" s="121"/>
      <c r="Z9" s="121" t="s">
        <v>20</v>
      </c>
      <c r="AA9" s="121" t="s">
        <v>22</v>
      </c>
      <c r="AB9" s="122" t="s">
        <v>23</v>
      </c>
    </row>
    <row r="10" spans="1:29" s="89" customFormat="1" x14ac:dyDescent="0.2">
      <c r="A10" s="68">
        <f>U3</f>
        <v>46307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67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46308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46309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46310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46311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100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102"/>
      <c r="D15" s="102"/>
      <c r="E15" s="102"/>
      <c r="F15" s="102"/>
      <c r="G15" s="102"/>
      <c r="H15" s="71"/>
      <c r="I15" s="72"/>
      <c r="J15" s="73"/>
      <c r="K15" s="92"/>
      <c r="L15" s="143"/>
      <c r="M15" s="144"/>
      <c r="N15" s="145"/>
      <c r="O15" s="146"/>
      <c r="P15" s="93"/>
      <c r="Q15" s="79"/>
      <c r="R15" s="80"/>
      <c r="S15" s="81"/>
      <c r="T15" s="94"/>
      <c r="U15" s="83"/>
      <c r="V15" s="83"/>
      <c r="W15" s="83"/>
      <c r="X15" s="83"/>
      <c r="Y15" s="131"/>
      <c r="Z15" s="95"/>
      <c r="AA15" s="96"/>
      <c r="AB15" s="94"/>
    </row>
    <row r="16" spans="1:29" s="89" customFormat="1" x14ac:dyDescent="0.2">
      <c r="A16" s="68">
        <f>A14+3</f>
        <v>46314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>D16-C16</f>
        <v>0.14583333333333337</v>
      </c>
      <c r="F16" s="70">
        <f>end_lunch</f>
        <v>0.5625</v>
      </c>
      <c r="G16" s="70">
        <f>end_time</f>
        <v>0.70833333333333337</v>
      </c>
      <c r="H16" s="71">
        <f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67"/>
      <c r="M16" s="75"/>
      <c r="N16" s="76"/>
      <c r="O16" s="77"/>
      <c r="P16" s="78">
        <f>IF(ISNA(MATCH($M16,{2,3,4,5,6,7,10},0)),0,$Q16)</f>
        <v>0</v>
      </c>
      <c r="Q16" s="79">
        <f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46315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>(N17*60)+O17</f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46316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46317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46318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100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90"/>
      <c r="B21" s="91"/>
      <c r="C21" s="102"/>
      <c r="D21" s="102"/>
      <c r="E21" s="102"/>
      <c r="F21" s="102"/>
      <c r="G21" s="102"/>
      <c r="H21" s="71"/>
      <c r="I21" s="72"/>
      <c r="J21" s="73"/>
      <c r="K21" s="92"/>
      <c r="L21" s="144"/>
      <c r="M21" s="144"/>
      <c r="N21" s="145"/>
      <c r="O21" s="146"/>
      <c r="P21" s="93"/>
      <c r="Q21" s="97"/>
      <c r="R21" s="97"/>
      <c r="S21" s="93"/>
      <c r="T21" s="94"/>
      <c r="U21" s="98"/>
      <c r="V21" s="99"/>
      <c r="W21" s="98"/>
      <c r="X21" s="98"/>
      <c r="Y21" s="131"/>
      <c r="Z21" s="95"/>
      <c r="AA21" s="96"/>
      <c r="AB21" s="94"/>
    </row>
    <row r="22" spans="1:28" s="89" customFormat="1" x14ac:dyDescent="0.2">
      <c r="A22" s="68">
        <f>A20+3</f>
        <v>46321</v>
      </c>
      <c r="B22" s="69" t="s">
        <v>24</v>
      </c>
      <c r="C22" s="70">
        <f>start_time</f>
        <v>0.375</v>
      </c>
      <c r="D22" s="70">
        <f>start_lunch</f>
        <v>0.52083333333333337</v>
      </c>
      <c r="E22" s="102">
        <f>D22-C22</f>
        <v>0.14583333333333337</v>
      </c>
      <c r="F22" s="70">
        <f>end_lunch</f>
        <v>0.5625</v>
      </c>
      <c r="G22" s="70">
        <f>end_time</f>
        <v>0.70833333333333337</v>
      </c>
      <c r="H22" s="71">
        <f>(G22-F22)</f>
        <v>0.14583333333333337</v>
      </c>
      <c r="I22" s="72">
        <f>HOUR(E22+H22)</f>
        <v>7</v>
      </c>
      <c r="J22" s="73">
        <f>MINUTE(E22+H22)</f>
        <v>0</v>
      </c>
      <c r="K22" s="74">
        <f>I22*60+J22</f>
        <v>420</v>
      </c>
      <c r="L22" s="67"/>
      <c r="M22" s="75"/>
      <c r="N22" s="76"/>
      <c r="O22" s="77"/>
      <c r="P22" s="78">
        <f>IF(ISNA(MATCH($M22,{2,3,4,5,6,7,10},0)),0,$Q22)</f>
        <v>0</v>
      </c>
      <c r="Q22" s="79">
        <f>(N22*60)+O22</f>
        <v>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46322</v>
      </c>
      <c r="B23" s="69" t="s">
        <v>25</v>
      </c>
      <c r="C23" s="70">
        <f>start_time</f>
        <v>0.375</v>
      </c>
      <c r="D23" s="70">
        <f>start_lunch</f>
        <v>0.52083333333333337</v>
      </c>
      <c r="E23" s="102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67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46323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6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46324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6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46325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L26" s="100"/>
      <c r="M26" s="75"/>
      <c r="N26" s="76"/>
      <c r="O26" s="77"/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90"/>
      <c r="B27" s="91"/>
      <c r="C27" s="102"/>
      <c r="D27" s="102"/>
      <c r="E27" s="102"/>
      <c r="F27" s="102"/>
      <c r="G27" s="102"/>
      <c r="H27" s="71"/>
      <c r="I27" s="72"/>
      <c r="J27" s="73"/>
      <c r="K27" s="92"/>
      <c r="L27" s="143"/>
      <c r="M27" s="144"/>
      <c r="N27" s="145"/>
      <c r="O27" s="148"/>
      <c r="P27" s="93"/>
      <c r="Q27" s="97"/>
      <c r="R27" s="97"/>
      <c r="S27" s="101"/>
      <c r="T27" s="94"/>
      <c r="U27" s="98"/>
      <c r="V27" s="99"/>
      <c r="W27" s="98"/>
      <c r="X27" s="98"/>
      <c r="Y27" s="131"/>
      <c r="Z27" s="95"/>
      <c r="AA27" s="96"/>
      <c r="AB27" s="94"/>
    </row>
    <row r="28" spans="1:28" s="89" customFormat="1" x14ac:dyDescent="0.2">
      <c r="A28" s="68">
        <f>A26+3</f>
        <v>46328</v>
      </c>
      <c r="B28" s="69" t="s">
        <v>24</v>
      </c>
      <c r="C28" s="70">
        <f>start_time</f>
        <v>0.375</v>
      </c>
      <c r="D28" s="70">
        <f>start_lunch</f>
        <v>0.52083333333333337</v>
      </c>
      <c r="E28" s="102">
        <f>D28-C28</f>
        <v>0.14583333333333337</v>
      </c>
      <c r="F28" s="70">
        <f>end_lunch</f>
        <v>0.5625</v>
      </c>
      <c r="G28" s="70">
        <f>end_time</f>
        <v>0.70833333333333337</v>
      </c>
      <c r="H28" s="71">
        <f>(G28-F28)</f>
        <v>0.14583333333333337</v>
      </c>
      <c r="I28" s="72">
        <f>HOUR(E28+H28)</f>
        <v>7</v>
      </c>
      <c r="J28" s="73">
        <f>MINUTE(E28+H28)</f>
        <v>0</v>
      </c>
      <c r="K28" s="74">
        <f>I28*60+J28</f>
        <v>420</v>
      </c>
      <c r="L28" s="67"/>
      <c r="M28" s="75"/>
      <c r="N28" s="76"/>
      <c r="O28" s="77"/>
      <c r="P28" s="78">
        <f>IF(ISNA(MATCH($M28,{2,3,4,5,6,7,10},0)),0,$Q28)</f>
        <v>0</v>
      </c>
      <c r="Q28" s="79">
        <f>(N28*60)+O28</f>
        <v>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2">INT(ABS(Y28/60))</f>
        <v>0</v>
      </c>
      <c r="AA28" s="86">
        <f t="shared" ref="AA28:AA33" si="3">MOD(ABS(Y28),60)</f>
        <v>0</v>
      </c>
      <c r="AB28" s="87" t="str">
        <f t="shared" ref="AB28:AB33" si="4">IF(Y28 &lt;0,"DB","CR")</f>
        <v>CR</v>
      </c>
    </row>
    <row r="29" spans="1:28" s="89" customFormat="1" x14ac:dyDescent="0.2">
      <c r="A29" s="68">
        <f>A28+1</f>
        <v>46329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6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2"/>
        <v>0</v>
      </c>
      <c r="AA29" s="86">
        <f t="shared" si="3"/>
        <v>0</v>
      </c>
      <c r="AB29" s="87" t="str">
        <f t="shared" si="4"/>
        <v>CR</v>
      </c>
    </row>
    <row r="30" spans="1:28" s="89" customFormat="1" x14ac:dyDescent="0.2">
      <c r="A30" s="68">
        <f>A29+1</f>
        <v>46330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2"/>
        <v>0</v>
      </c>
      <c r="AA30" s="86">
        <f t="shared" si="3"/>
        <v>0</v>
      </c>
      <c r="AB30" s="87" t="str">
        <f t="shared" si="4"/>
        <v>CR</v>
      </c>
    </row>
    <row r="31" spans="1:28" s="89" customFormat="1" x14ac:dyDescent="0.2">
      <c r="A31" s="68">
        <f>A30+1</f>
        <v>46331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67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2"/>
        <v>0</v>
      </c>
      <c r="AA31" s="86">
        <f t="shared" si="3"/>
        <v>0</v>
      </c>
      <c r="AB31" s="87" t="str">
        <f t="shared" si="4"/>
        <v>CR</v>
      </c>
    </row>
    <row r="32" spans="1:28" s="89" customFormat="1" x14ac:dyDescent="0.2">
      <c r="A32" s="68">
        <f>A31+1</f>
        <v>46332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100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2"/>
        <v>0</v>
      </c>
      <c r="AA32" s="86">
        <f t="shared" si="3"/>
        <v>0</v>
      </c>
      <c r="AB32" s="87" t="str">
        <f t="shared" si="4"/>
        <v>CR</v>
      </c>
    </row>
    <row r="33" spans="1:32" ht="15.75" x14ac:dyDescent="0.25">
      <c r="H33" s="104" t="s">
        <v>66</v>
      </c>
      <c r="I33" s="139">
        <f>SUM(I10:I32)+INT(SUM(J10:J32)/60)</f>
        <v>140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0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2"/>
        <v>0</v>
      </c>
      <c r="AA33" s="135">
        <f t="shared" si="3"/>
        <v>0</v>
      </c>
      <c r="AB33" s="138" t="str">
        <f t="shared" si="4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17"/>
      <c r="I34" s="30"/>
      <c r="J34" s="17"/>
      <c r="K34" s="17"/>
      <c r="L34" s="29"/>
      <c r="M34" s="106" t="s">
        <v>104</v>
      </c>
      <c r="N34" s="85">
        <f>INT(ABS(SUM(P10:P32)/60))</f>
        <v>0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25:25" x14ac:dyDescent="0.2">
      <c r="Y49" s="10"/>
    </row>
    <row r="50" spans="25:25" x14ac:dyDescent="0.2">
      <c r="Y50" s="10"/>
    </row>
    <row r="51" spans="25:25" x14ac:dyDescent="0.2">
      <c r="Y51" s="10"/>
    </row>
    <row r="52" spans="25:25" x14ac:dyDescent="0.2">
      <c r="Y52" s="10"/>
    </row>
    <row r="53" spans="25:25" x14ac:dyDescent="0.2">
      <c r="Y53" s="10"/>
    </row>
    <row r="54" spans="25:25" x14ac:dyDescent="0.2">
      <c r="Y54" s="10"/>
    </row>
    <row r="55" spans="25:25" x14ac:dyDescent="0.2">
      <c r="Y55" s="10"/>
    </row>
    <row r="56" spans="25:25" x14ac:dyDescent="0.2">
      <c r="Y56" s="10"/>
    </row>
    <row r="57" spans="25:25" x14ac:dyDescent="0.2">
      <c r="Y57" s="10"/>
    </row>
    <row r="58" spans="25:25" x14ac:dyDescent="0.2">
      <c r="Y58" s="10"/>
    </row>
    <row r="59" spans="25:25" x14ac:dyDescent="0.2">
      <c r="Y59" s="10"/>
    </row>
    <row r="60" spans="25:25" x14ac:dyDescent="0.2">
      <c r="Y60" s="10"/>
    </row>
    <row r="61" spans="25:25" x14ac:dyDescent="0.2">
      <c r="Y61" s="10"/>
    </row>
    <row r="62" spans="25:25" x14ac:dyDescent="0.2">
      <c r="Y62" s="10"/>
    </row>
    <row r="63" spans="25:25" x14ac:dyDescent="0.2">
      <c r="Y63" s="10"/>
    </row>
    <row r="64" spans="25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</sheetData>
  <sheetProtection algorithmName="SHA-512" hashValue="UsdLVmZtkALt4sIylxQw2lqrKR/zBKZ0azSLoUGmaTnUfeHhzJlCYvJgjNwTL73AbUa/uJUD0br+GStJZwVOFw==" saltValue="6ZaKxLToWcD2bUk46Td2pA==" spinCount="100000" sheet="1" objects="1" scenarios="1"/>
  <protectedRanges>
    <protectedRange sqref="AC1:AC34 AC36 AC42:AC1048576" name="Range1"/>
  </protectedRanges>
  <mergeCells count="1">
    <mergeCell ref="A36:C36"/>
  </mergeCells>
  <phoneticPr fontId="0" type="noConversion"/>
  <dataValidations count="14">
    <dataValidation type="whole" allowBlank="1" showInputMessage="1" showErrorMessage="1" error="Enter a Leave Type number between 1 and 11" sqref="M15 M21 M27" xr:uid="{00000000-0002-0000-0D00-000000000000}">
      <formula1>1</formula1>
      <formula2>11</formula2>
    </dataValidation>
    <dataValidation type="time" allowBlank="1" showInputMessage="1" showErrorMessage="1" error="Enter the time in 24 hour format, such as 14:00 for 2:00PM" sqref="C28:D32 C10:D14 C22:D26 F22:G26 F28:G32 F16:G20 C16:D20 F10:G14" xr:uid="{00000000-0002-0000-0D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22:O26 O28:O32 O10:O14" xr:uid="{00000000-0002-0000-0D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 N10" xr:uid="{00000000-0002-0000-0D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D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24" xr:uid="{00000000-0002-0000-0D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 N25" xr:uid="{00000000-0002-0000-0D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4 N26" xr:uid="{00000000-0002-0000-0D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10:M14 M16:M20 M22:M26 M28:M32" xr:uid="{00000000-0002-0000-0D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6 N28" xr:uid="{00000000-0002-0000-0D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7 N29" xr:uid="{00000000-0002-0000-0D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D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31" xr:uid="{00000000-0002-0000-0D00-00000C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 N32" xr:uid="{00000000-0002-0000-0D00-00000D000000}">
      <formula1>0</formula1>
      <formula2>fri_hrs2</formula2>
    </dataValidation>
  </dataValidations>
  <pageMargins left="0.27559055118110237" right="0.27559055118110237" top="0.47244094488188976" bottom="0.47244094488188976" header="0.51181102362204722" footer="0.51181102362204722"/>
  <pageSetup paperSize="9" scale="96" orientation="landscape" blackAndWhite="1" r:id="rId1"/>
  <headerFooter alignWithMargins="0"/>
  <ignoredErrors>
    <ignoredError sqref="E11:E17 E10 E18:E32 F10:G32 C10:D14 C16:D20 C22:D26 C28:D32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fitToPage="1"/>
  </sheetPr>
  <dimension ref="A1:AL52"/>
  <sheetViews>
    <sheetView zoomScaleNormal="75" workbookViewId="0">
      <selection activeCell="AF7" sqref="AF7"/>
    </sheetView>
  </sheetViews>
  <sheetFormatPr defaultColWidth="8.85546875" defaultRowHeight="12.75" x14ac:dyDescent="0.2"/>
  <cols>
    <col min="1" max="1" width="12.140625" style="1" customWidth="1"/>
    <col min="2" max="2" width="9.7109375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8.85546875" hidden="1" customWidth="1"/>
    <col min="20" max="20" width="6.140625" style="2" customWidth="1"/>
    <col min="21" max="23" width="4.140625" style="1" customWidth="1"/>
    <col min="24" max="24" width="5.5703125" style="1" customWidth="1"/>
    <col min="25" max="25" width="8.42578125" style="1" hidden="1" customWidth="1"/>
    <col min="26" max="27" width="5.28515625" style="1" customWidth="1"/>
    <col min="28" max="28" width="5" style="1" customWidth="1"/>
    <col min="29" max="29" width="5" style="1" bestFit="1" customWidth="1"/>
    <col min="30" max="30" width="5.7109375" style="1" customWidth="1"/>
    <col min="31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09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3+sheet_end_date_p12</f>
        <v>46335</v>
      </c>
      <c r="V3" s="38"/>
      <c r="W3" s="39"/>
      <c r="X3" s="108" t="s">
        <v>106</v>
      </c>
      <c r="Y3" s="40"/>
      <c r="Z3" s="130">
        <f>A32</f>
        <v>46360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1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</row>
    <row r="8" spans="1:29" ht="15.75" x14ac:dyDescent="0.25">
      <c r="A8" s="20"/>
      <c r="B8" s="20"/>
      <c r="C8" s="117" t="s">
        <v>7</v>
      </c>
      <c r="D8" s="118"/>
      <c r="E8" s="118"/>
      <c r="F8" s="119" t="s">
        <v>8</v>
      </c>
      <c r="G8" s="118"/>
      <c r="H8" s="21"/>
      <c r="I8" s="120" t="s">
        <v>59</v>
      </c>
      <c r="J8" s="21"/>
      <c r="K8" s="13"/>
      <c r="L8" s="22"/>
      <c r="M8" s="120" t="s">
        <v>9</v>
      </c>
      <c r="N8" s="48"/>
      <c r="O8" s="48"/>
      <c r="P8" s="52"/>
      <c r="Q8" s="15"/>
      <c r="R8" s="15"/>
      <c r="S8" s="15"/>
      <c r="T8" s="149"/>
      <c r="U8" s="125" t="s">
        <v>60</v>
      </c>
      <c r="V8" s="126"/>
      <c r="W8" s="116" t="s">
        <v>61</v>
      </c>
      <c r="X8" s="125"/>
      <c r="Y8" s="52" t="s">
        <v>10</v>
      </c>
      <c r="Z8" s="124" t="s">
        <v>11</v>
      </c>
      <c r="AA8" s="23"/>
      <c r="AB8" s="24"/>
    </row>
    <row r="9" spans="1:29" s="17" customFormat="1" ht="21.75" customHeight="1" x14ac:dyDescent="0.2">
      <c r="A9" s="121" t="s">
        <v>12</v>
      </c>
      <c r="B9" s="121" t="s">
        <v>13</v>
      </c>
      <c r="C9" s="121" t="s">
        <v>14</v>
      </c>
      <c r="D9" s="121" t="s">
        <v>15</v>
      </c>
      <c r="E9" s="121" t="s">
        <v>105</v>
      </c>
      <c r="F9" s="121" t="s">
        <v>14</v>
      </c>
      <c r="G9" s="121" t="s">
        <v>15</v>
      </c>
      <c r="H9" s="121" t="s">
        <v>105</v>
      </c>
      <c r="I9" s="121" t="s">
        <v>17</v>
      </c>
      <c r="J9" s="121" t="s">
        <v>18</v>
      </c>
      <c r="K9" s="121" t="s">
        <v>19</v>
      </c>
      <c r="L9" s="121" t="s">
        <v>129</v>
      </c>
      <c r="M9" s="121" t="s">
        <v>71</v>
      </c>
      <c r="N9" s="121" t="s">
        <v>20</v>
      </c>
      <c r="O9" s="121" t="s">
        <v>22</v>
      </c>
      <c r="P9" s="121" t="s">
        <v>62</v>
      </c>
      <c r="Q9" s="121" t="s">
        <v>63</v>
      </c>
      <c r="R9" s="121" t="s">
        <v>64</v>
      </c>
      <c r="S9" s="121" t="s">
        <v>65</v>
      </c>
      <c r="T9" s="121" t="s">
        <v>21</v>
      </c>
      <c r="U9" s="121" t="s">
        <v>17</v>
      </c>
      <c r="V9" s="121" t="s">
        <v>18</v>
      </c>
      <c r="W9" s="121" t="s">
        <v>17</v>
      </c>
      <c r="X9" s="121" t="s">
        <v>18</v>
      </c>
      <c r="Y9" s="121"/>
      <c r="Z9" s="121" t="s">
        <v>20</v>
      </c>
      <c r="AA9" s="121" t="s">
        <v>22</v>
      </c>
      <c r="AB9" s="122" t="s">
        <v>23</v>
      </c>
    </row>
    <row r="10" spans="1:29" s="89" customFormat="1" x14ac:dyDescent="0.2">
      <c r="A10" s="68">
        <f>U3</f>
        <v>46335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67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46336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46337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46338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46339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100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102"/>
      <c r="D15" s="102"/>
      <c r="E15" s="102"/>
      <c r="F15" s="102"/>
      <c r="G15" s="102"/>
      <c r="H15" s="71"/>
      <c r="I15" s="72"/>
      <c r="J15" s="73"/>
      <c r="K15" s="92"/>
      <c r="L15" s="143"/>
      <c r="M15" s="144"/>
      <c r="N15" s="145"/>
      <c r="O15" s="146"/>
      <c r="P15" s="93"/>
      <c r="Q15" s="79"/>
      <c r="R15" s="80"/>
      <c r="S15" s="81"/>
      <c r="T15" s="94"/>
      <c r="U15" s="83"/>
      <c r="V15" s="83"/>
      <c r="W15" s="83"/>
      <c r="X15" s="83"/>
      <c r="Y15" s="131"/>
      <c r="Z15" s="95"/>
      <c r="AA15" s="96"/>
      <c r="AB15" s="94"/>
    </row>
    <row r="16" spans="1:29" s="89" customFormat="1" x14ac:dyDescent="0.2">
      <c r="A16" s="68">
        <f>A14+3</f>
        <v>46342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>D16-C16</f>
        <v>0.14583333333333337</v>
      </c>
      <c r="F16" s="70">
        <f>end_lunch</f>
        <v>0.5625</v>
      </c>
      <c r="G16" s="70">
        <f>end_time</f>
        <v>0.70833333333333337</v>
      </c>
      <c r="H16" s="71">
        <f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67"/>
      <c r="M16" s="75"/>
      <c r="N16" s="76"/>
      <c r="O16" s="77"/>
      <c r="P16" s="78">
        <f>IF(ISNA(MATCH($M16,{2,3,4,5,6,7,10},0)),0,$Q16)</f>
        <v>0</v>
      </c>
      <c r="Q16" s="79">
        <f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46343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>(N17*60)+O17</f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46344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46345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46346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100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90"/>
      <c r="B21" s="91"/>
      <c r="C21" s="102"/>
      <c r="D21" s="102"/>
      <c r="E21" s="102"/>
      <c r="F21" s="102"/>
      <c r="G21" s="102"/>
      <c r="H21" s="71"/>
      <c r="I21" s="72"/>
      <c r="J21" s="73"/>
      <c r="K21" s="92"/>
      <c r="L21" s="144"/>
      <c r="M21" s="144"/>
      <c r="N21" s="145"/>
      <c r="O21" s="146"/>
      <c r="P21" s="93"/>
      <c r="Q21" s="97"/>
      <c r="R21" s="97"/>
      <c r="S21" s="93"/>
      <c r="T21" s="94"/>
      <c r="U21" s="98"/>
      <c r="V21" s="99"/>
      <c r="W21" s="98"/>
      <c r="X21" s="98"/>
      <c r="Y21" s="131"/>
      <c r="Z21" s="95"/>
      <c r="AA21" s="96"/>
      <c r="AB21" s="94"/>
    </row>
    <row r="22" spans="1:28" s="89" customFormat="1" x14ac:dyDescent="0.2">
      <c r="A22" s="68">
        <f>A20+3</f>
        <v>46349</v>
      </c>
      <c r="B22" s="69" t="s">
        <v>24</v>
      </c>
      <c r="C22" s="70">
        <f>start_time</f>
        <v>0.375</v>
      </c>
      <c r="D22" s="70">
        <f>start_lunch</f>
        <v>0.52083333333333337</v>
      </c>
      <c r="E22" s="102">
        <f>D22-C22</f>
        <v>0.14583333333333337</v>
      </c>
      <c r="F22" s="70">
        <f>end_lunch</f>
        <v>0.5625</v>
      </c>
      <c r="G22" s="70">
        <f>end_time</f>
        <v>0.70833333333333337</v>
      </c>
      <c r="H22" s="71">
        <f>(G22-F22)</f>
        <v>0.14583333333333337</v>
      </c>
      <c r="I22" s="72">
        <f>HOUR(E22+H22)</f>
        <v>7</v>
      </c>
      <c r="J22" s="73">
        <f>MINUTE(E22+H22)</f>
        <v>0</v>
      </c>
      <c r="K22" s="74">
        <f>I22*60+J22</f>
        <v>420</v>
      </c>
      <c r="L22" s="67"/>
      <c r="M22" s="75"/>
      <c r="N22" s="76"/>
      <c r="O22" s="77"/>
      <c r="P22" s="78">
        <f>IF(ISNA(MATCH($M22,{2,3,4,5,6,7,10},0)),0,$Q22)</f>
        <v>0</v>
      </c>
      <c r="Q22" s="79">
        <f>(N22*60)+O22</f>
        <v>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46350</v>
      </c>
      <c r="B23" s="69" t="s">
        <v>25</v>
      </c>
      <c r="C23" s="70">
        <f>start_time</f>
        <v>0.375</v>
      </c>
      <c r="D23" s="70">
        <f>start_lunch</f>
        <v>0.52083333333333337</v>
      </c>
      <c r="E23" s="102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67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46351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6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46352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6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46353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L26" s="132"/>
      <c r="M26" s="75"/>
      <c r="N26" s="76"/>
      <c r="O26" s="77"/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90"/>
      <c r="B27" s="91"/>
      <c r="C27" s="102"/>
      <c r="D27" s="102"/>
      <c r="E27" s="102"/>
      <c r="F27" s="102"/>
      <c r="G27" s="102"/>
      <c r="H27" s="71"/>
      <c r="I27" s="72"/>
      <c r="J27" s="73"/>
      <c r="K27" s="92"/>
      <c r="L27" s="143"/>
      <c r="M27" s="144"/>
      <c r="N27" s="145"/>
      <c r="O27" s="148"/>
      <c r="P27" s="93"/>
      <c r="Q27" s="97"/>
      <c r="R27" s="97"/>
      <c r="S27" s="101"/>
      <c r="T27" s="94"/>
      <c r="U27" s="98"/>
      <c r="V27" s="99"/>
      <c r="W27" s="98"/>
      <c r="X27" s="98"/>
      <c r="Y27" s="131"/>
      <c r="Z27" s="95"/>
      <c r="AA27" s="96"/>
      <c r="AB27" s="94"/>
    </row>
    <row r="28" spans="1:28" s="89" customFormat="1" x14ac:dyDescent="0.2">
      <c r="A28" s="68">
        <f>A26+3</f>
        <v>46356</v>
      </c>
      <c r="B28" s="69" t="s">
        <v>24</v>
      </c>
      <c r="C28" s="70">
        <f>start_time</f>
        <v>0.375</v>
      </c>
      <c r="D28" s="70">
        <f>start_lunch</f>
        <v>0.52083333333333337</v>
      </c>
      <c r="E28" s="102">
        <f>D28-C28</f>
        <v>0.14583333333333337</v>
      </c>
      <c r="F28" s="70">
        <f>end_lunch</f>
        <v>0.5625</v>
      </c>
      <c r="G28" s="70">
        <f>end_time</f>
        <v>0.70833333333333337</v>
      </c>
      <c r="H28" s="71">
        <f>(G28-F28)</f>
        <v>0.14583333333333337</v>
      </c>
      <c r="I28" s="72">
        <f>HOUR(E28+H28)</f>
        <v>7</v>
      </c>
      <c r="J28" s="73">
        <f>MINUTE(E28+H28)</f>
        <v>0</v>
      </c>
      <c r="K28" s="74">
        <f>I28*60+J28</f>
        <v>420</v>
      </c>
      <c r="L28" s="67"/>
      <c r="M28" s="75"/>
      <c r="N28" s="76"/>
      <c r="O28" s="77"/>
      <c r="P28" s="78">
        <f>IF(ISNA(MATCH($M28,{2,3,4,5,6,7,10},0)),0,$Q28)</f>
        <v>0</v>
      </c>
      <c r="Q28" s="79">
        <f>(N28*60)+O28</f>
        <v>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2">INT(ABS(Y28/60))</f>
        <v>0</v>
      </c>
      <c r="AA28" s="86">
        <f t="shared" ref="AA28:AA33" si="3">MOD(ABS(Y28),60)</f>
        <v>0</v>
      </c>
      <c r="AB28" s="87" t="str">
        <f t="shared" ref="AB28:AB33" si="4">IF(Y28 &lt;0,"DB","CR")</f>
        <v>CR</v>
      </c>
    </row>
    <row r="29" spans="1:28" s="89" customFormat="1" x14ac:dyDescent="0.2">
      <c r="A29" s="68">
        <f>A28+1</f>
        <v>46357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6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2"/>
        <v>0</v>
      </c>
      <c r="AA29" s="86">
        <f t="shared" si="3"/>
        <v>0</v>
      </c>
      <c r="AB29" s="87" t="str">
        <f t="shared" si="4"/>
        <v>CR</v>
      </c>
    </row>
    <row r="30" spans="1:28" s="89" customFormat="1" x14ac:dyDescent="0.2">
      <c r="A30" s="68">
        <f>A29+1</f>
        <v>46358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2"/>
        <v>0</v>
      </c>
      <c r="AA30" s="86">
        <f t="shared" si="3"/>
        <v>0</v>
      </c>
      <c r="AB30" s="87" t="str">
        <f t="shared" si="4"/>
        <v>CR</v>
      </c>
    </row>
    <row r="31" spans="1:28" s="89" customFormat="1" x14ac:dyDescent="0.2">
      <c r="A31" s="68">
        <f>A30+1</f>
        <v>46359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67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2"/>
        <v>0</v>
      </c>
      <c r="AA31" s="86">
        <f t="shared" si="3"/>
        <v>0</v>
      </c>
      <c r="AB31" s="87" t="str">
        <f t="shared" si="4"/>
        <v>CR</v>
      </c>
    </row>
    <row r="32" spans="1:28" s="89" customFormat="1" x14ac:dyDescent="0.2">
      <c r="A32" s="68">
        <f>A31+1</f>
        <v>46360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67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2"/>
        <v>0</v>
      </c>
      <c r="AA32" s="86">
        <f t="shared" si="3"/>
        <v>0</v>
      </c>
      <c r="AB32" s="87" t="str">
        <f t="shared" si="4"/>
        <v>CR</v>
      </c>
    </row>
    <row r="33" spans="1:38" ht="15.75" x14ac:dyDescent="0.25">
      <c r="H33" s="104" t="s">
        <v>66</v>
      </c>
      <c r="I33" s="139">
        <f>SUM(I10:I32)+INT(SUM(J10:J32)/60)</f>
        <v>140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0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2"/>
        <v>0</v>
      </c>
      <c r="AA33" s="135">
        <f t="shared" si="3"/>
        <v>0</v>
      </c>
      <c r="AB33" s="138" t="str">
        <f t="shared" si="4"/>
        <v>CR</v>
      </c>
      <c r="AE33" s="6"/>
      <c r="AF33" s="25"/>
    </row>
    <row r="34" spans="1:38" x14ac:dyDescent="0.2">
      <c r="A34" s="6"/>
      <c r="B34" s="6"/>
      <c r="C34" s="17"/>
      <c r="D34" s="17"/>
      <c r="E34" s="17"/>
      <c r="F34" s="17"/>
      <c r="G34" s="17"/>
      <c r="H34" s="17"/>
      <c r="I34" s="30"/>
      <c r="J34" s="17"/>
      <c r="K34" s="17"/>
      <c r="L34" s="29"/>
      <c r="M34" s="106" t="s">
        <v>104</v>
      </c>
      <c r="N34" s="85">
        <f>INT(ABS(SUM(P10:P32)/60))</f>
        <v>0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8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</row>
    <row r="36" spans="1:38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</row>
    <row r="37" spans="1:38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  <c r="AD37" s="89"/>
      <c r="AF37" s="66"/>
      <c r="AG37" s="66"/>
      <c r="AH37" s="89"/>
    </row>
    <row r="38" spans="1:38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AG38"/>
      <c r="AL38" s="89"/>
    </row>
    <row r="39" spans="1:38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  <c r="AD39" s="89"/>
      <c r="AF39" s="66"/>
      <c r="AG39" s="66"/>
      <c r="AH39" s="89"/>
    </row>
    <row r="40" spans="1:38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  <c r="AD40" s="31"/>
      <c r="AG40"/>
    </row>
    <row r="41" spans="1:38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Z41" s="6"/>
      <c r="AA41" s="89"/>
      <c r="AB41" s="6"/>
      <c r="AC41" s="6"/>
      <c r="AD41" s="6"/>
      <c r="AE41" s="6"/>
      <c r="AF41" s="6"/>
      <c r="AG41"/>
      <c r="AH41" s="6"/>
      <c r="AI41" s="2"/>
      <c r="AJ41" s="2"/>
      <c r="AK41" s="34"/>
    </row>
    <row r="43" spans="1:38" x14ac:dyDescent="0.2">
      <c r="A43" s="89"/>
      <c r="L43" s="1"/>
      <c r="M43" s="1"/>
      <c r="N43" s="1"/>
      <c r="O43" s="1"/>
      <c r="P43" s="1"/>
    </row>
    <row r="44" spans="1:38" x14ac:dyDescent="0.2">
      <c r="A44" s="89"/>
    </row>
    <row r="45" spans="1:38" x14ac:dyDescent="0.2">
      <c r="A45" s="89"/>
    </row>
    <row r="46" spans="1:38" x14ac:dyDescent="0.2">
      <c r="A46" s="89"/>
    </row>
    <row r="47" spans="1:38" x14ac:dyDescent="0.2">
      <c r="A47" s="89"/>
    </row>
    <row r="48" spans="1:38" x14ac:dyDescent="0.2">
      <c r="A48" s="89"/>
    </row>
    <row r="49" spans="1:1" x14ac:dyDescent="0.2">
      <c r="A49" s="89"/>
    </row>
    <row r="50" spans="1:1" x14ac:dyDescent="0.2">
      <c r="A50" s="89"/>
    </row>
    <row r="51" spans="1:1" x14ac:dyDescent="0.2">
      <c r="A51" s="89"/>
    </row>
    <row r="52" spans="1:1" x14ac:dyDescent="0.2">
      <c r="A52" s="89"/>
    </row>
  </sheetData>
  <sheetProtection algorithmName="SHA-512" hashValue="nlajx2LuYTfa47QgRvvs00rmnaF2lvJ6ddylUVKmhxt9YuBPg6qzpgq0xeW2FZVHbM68QIFM++RbHjr5mcrsug==" saltValue="2orEhoVIj0r0xfjU+g/IoQ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dataValidations count="14">
    <dataValidation type="whole" allowBlank="1" showInputMessage="1" showErrorMessage="1" error="Enter a Leave Type number between 1 and 11" sqref="M15 M27 M21" xr:uid="{00000000-0002-0000-0E00-000000000000}">
      <formula1>1</formula1>
      <formula2>11</formula2>
    </dataValidation>
    <dataValidation type="time" allowBlank="1" showInputMessage="1" showErrorMessage="1" error="Enter the time in 24 hour format, such as 14:00 for 2:00PM" sqref="C16:D20 F28:G32 C22:D26 F16:G20 F10:G14 F22:G26 C10:D14 C28:D32" xr:uid="{00000000-0002-0000-0E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10:O14 O28:O32 O22:O26" xr:uid="{00000000-0002-0000-0E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 N10" xr:uid="{00000000-0002-0000-0E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E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24" xr:uid="{00000000-0002-0000-0E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 N25" xr:uid="{00000000-0002-0000-0E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4 N26" xr:uid="{00000000-0002-0000-0E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10:M14 M16:M20 M22:M26 M28:M32" xr:uid="{00000000-0002-0000-0E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6 N28" xr:uid="{00000000-0002-0000-0E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7 N29" xr:uid="{00000000-0002-0000-0E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E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31" xr:uid="{00000000-0002-0000-0E00-00000C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 N32" xr:uid="{00000000-0002-0000-0E00-00000D000000}">
      <formula1>0</formula1>
      <formula2>fri_hrs2</formula2>
    </dataValidation>
  </dataValidations>
  <pageMargins left="0.27559055118110237" right="0.27559055118110237" top="0.47244094488188976" bottom="0.47244094488188976" header="0.51181102362204722" footer="0.51181102362204722"/>
  <pageSetup paperSize="9" scale="96" orientation="landscape" blackAndWhite="1" r:id="rId1"/>
  <headerFooter alignWithMargins="0"/>
  <ignoredErrors>
    <ignoredError sqref="E11:E17 E10 E18:E32 F10:G32 C10:D14 C16:D20 C22:D26 C28:D3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>
    <tabColor indexed="49"/>
  </sheetPr>
  <dimension ref="A1:AM30"/>
  <sheetViews>
    <sheetView zoomScaleNormal="100" workbookViewId="0">
      <selection activeCell="C30" sqref="C30"/>
    </sheetView>
  </sheetViews>
  <sheetFormatPr defaultColWidth="8.85546875" defaultRowHeight="15" x14ac:dyDescent="0.25"/>
  <cols>
    <col min="1" max="1" width="7.140625" style="53" customWidth="1"/>
    <col min="2" max="2" width="78.5703125" style="56" customWidth="1"/>
    <col min="3" max="3" width="9.7109375" style="53" bestFit="1" customWidth="1"/>
    <col min="4" max="7" width="7" style="53" customWidth="1"/>
    <col min="8" max="8" width="9.5703125" style="53" customWidth="1"/>
    <col min="9" max="9" width="7.140625" style="53" customWidth="1"/>
    <col min="10" max="10" width="6" customWidth="1"/>
    <col min="11" max="39" width="8.85546875" customWidth="1"/>
    <col min="40" max="16384" width="8.85546875" style="53"/>
  </cols>
  <sheetData>
    <row r="1" spans="1:17" ht="15.75" x14ac:dyDescent="0.25">
      <c r="A1" s="89" t="s">
        <v>47</v>
      </c>
      <c r="B1" s="179" t="s">
        <v>90</v>
      </c>
    </row>
    <row r="2" spans="1:17" x14ac:dyDescent="0.25">
      <c r="A2" s="89" t="s">
        <v>48</v>
      </c>
    </row>
    <row r="3" spans="1:17" ht="15.75" x14ac:dyDescent="0.25">
      <c r="A3" s="160">
        <v>1</v>
      </c>
      <c r="B3" s="103" t="s">
        <v>41</v>
      </c>
      <c r="C3" s="180"/>
    </row>
    <row r="4" spans="1:17" ht="15.75" x14ac:dyDescent="0.25">
      <c r="A4" s="160">
        <v>2</v>
      </c>
      <c r="B4" s="103" t="s">
        <v>93</v>
      </c>
      <c r="C4" s="181"/>
    </row>
    <row r="5" spans="1:17" x14ac:dyDescent="0.25">
      <c r="A5" s="160"/>
    </row>
    <row r="6" spans="1:17" ht="15" hidden="1" customHeight="1" x14ac:dyDescent="0.25">
      <c r="A6" s="160"/>
      <c r="B6" s="57" t="e">
        <f>60*max_hours</f>
        <v>#REF!</v>
      </c>
      <c r="C6" s="59"/>
      <c r="D6" s="59"/>
      <c r="E6" s="59"/>
      <c r="F6" s="59"/>
      <c r="G6" s="59"/>
      <c r="H6" s="59"/>
      <c r="I6" s="59"/>
    </row>
    <row r="7" spans="1:17" x14ac:dyDescent="0.25">
      <c r="A7" s="160"/>
    </row>
    <row r="8" spans="1:17" x14ac:dyDescent="0.25">
      <c r="A8" s="160"/>
      <c r="C8" s="161" t="s">
        <v>7</v>
      </c>
      <c r="D8" s="162"/>
      <c r="E8" s="162"/>
      <c r="F8" s="163" t="s">
        <v>8</v>
      </c>
      <c r="G8" s="164"/>
      <c r="H8" s="162"/>
      <c r="I8" s="165"/>
    </row>
    <row r="9" spans="1:17" ht="24.75" x14ac:dyDescent="0.25">
      <c r="A9" s="160">
        <v>3</v>
      </c>
      <c r="B9" s="103" t="s">
        <v>42</v>
      </c>
      <c r="C9" s="166" t="s">
        <v>14</v>
      </c>
      <c r="D9" s="166" t="s">
        <v>15</v>
      </c>
      <c r="E9" s="167" t="s">
        <v>16</v>
      </c>
      <c r="F9" s="166" t="s">
        <v>14</v>
      </c>
      <c r="G9" s="166" t="s">
        <v>15</v>
      </c>
      <c r="H9" s="167" t="s">
        <v>16</v>
      </c>
      <c r="I9" s="168" t="s">
        <v>76</v>
      </c>
    </row>
    <row r="10" spans="1:17" ht="15.75" x14ac:dyDescent="0.25">
      <c r="A10" s="160"/>
      <c r="B10" s="103" t="s">
        <v>43</v>
      </c>
      <c r="C10" s="169">
        <v>0.375</v>
      </c>
      <c r="D10" s="170">
        <v>0.52083333333333337</v>
      </c>
      <c r="E10" s="171">
        <f>D10-C10</f>
        <v>0.14583333333333337</v>
      </c>
      <c r="F10" s="169">
        <v>0.5625</v>
      </c>
      <c r="G10" s="169">
        <v>0.70833333333333337</v>
      </c>
      <c r="H10" s="171">
        <f>G10-F10</f>
        <v>0.14583333333333337</v>
      </c>
      <c r="I10" s="171">
        <f>E10+H10</f>
        <v>0.29166666666666674</v>
      </c>
    </row>
    <row r="11" spans="1:17" ht="12.75" x14ac:dyDescent="0.2">
      <c r="A11" s="160"/>
      <c r="B11" s="89" t="s">
        <v>50</v>
      </c>
    </row>
    <row r="12" spans="1:17" ht="12.75" x14ac:dyDescent="0.2">
      <c r="A12" s="160"/>
      <c r="B12" s="89" t="s">
        <v>51</v>
      </c>
    </row>
    <row r="13" spans="1:17" x14ac:dyDescent="0.25">
      <c r="A13" s="160"/>
      <c r="L13" s="89" t="s">
        <v>86</v>
      </c>
      <c r="M13" s="89"/>
      <c r="N13" s="89"/>
      <c r="O13" s="89"/>
      <c r="P13" s="89"/>
      <c r="Q13" s="89"/>
    </row>
    <row r="14" spans="1:17" x14ac:dyDescent="0.25">
      <c r="A14" s="160"/>
      <c r="B14" s="157" t="s">
        <v>57</v>
      </c>
      <c r="D14" s="172" t="s">
        <v>35</v>
      </c>
      <c r="E14" s="172" t="s">
        <v>36</v>
      </c>
      <c r="F14" s="172" t="s">
        <v>37</v>
      </c>
      <c r="G14" s="172" t="s">
        <v>38</v>
      </c>
      <c r="H14" s="172" t="s">
        <v>39</v>
      </c>
      <c r="I14" s="173" t="s">
        <v>73</v>
      </c>
      <c r="K14" s="53"/>
      <c r="L14" s="172" t="s">
        <v>35</v>
      </c>
      <c r="M14" s="172" t="s">
        <v>36</v>
      </c>
      <c r="N14" s="172" t="s">
        <v>37</v>
      </c>
      <c r="O14" s="172" t="s">
        <v>38</v>
      </c>
      <c r="P14" s="172" t="s">
        <v>39</v>
      </c>
      <c r="Q14" s="173" t="s">
        <v>73</v>
      </c>
    </row>
    <row r="15" spans="1:17" x14ac:dyDescent="0.25">
      <c r="A15" s="160">
        <v>4</v>
      </c>
      <c r="B15" s="103" t="s">
        <v>44</v>
      </c>
      <c r="C15" s="55" t="s">
        <v>75</v>
      </c>
      <c r="D15" s="174">
        <v>7</v>
      </c>
      <c r="E15" s="174">
        <v>7</v>
      </c>
      <c r="F15" s="175">
        <v>7</v>
      </c>
      <c r="G15" s="175">
        <v>7</v>
      </c>
      <c r="H15" s="175">
        <v>7</v>
      </c>
      <c r="I15" s="176">
        <f>SUM(D15:H15)</f>
        <v>35</v>
      </c>
      <c r="K15" s="178" t="s">
        <v>85</v>
      </c>
      <c r="L15" s="174">
        <f>mon_hrs</f>
        <v>7</v>
      </c>
      <c r="M15" s="174">
        <v>7</v>
      </c>
      <c r="N15" s="175">
        <v>7</v>
      </c>
      <c r="O15" s="175">
        <f>thu_hrs</f>
        <v>7</v>
      </c>
      <c r="P15" s="175">
        <v>7</v>
      </c>
      <c r="Q15" s="176">
        <f>SUM(L15:P15)</f>
        <v>35</v>
      </c>
    </row>
    <row r="16" spans="1:17" x14ac:dyDescent="0.25">
      <c r="A16" s="160"/>
      <c r="B16" s="103"/>
      <c r="D16" s="177">
        <f>D15*60</f>
        <v>420</v>
      </c>
      <c r="E16" s="177">
        <f>E15*60</f>
        <v>420</v>
      </c>
      <c r="F16" s="177">
        <f>F15*60</f>
        <v>420</v>
      </c>
      <c r="G16" s="177">
        <f>G15*60</f>
        <v>420</v>
      </c>
      <c r="H16" s="177">
        <f>H15*60</f>
        <v>420</v>
      </c>
      <c r="I16" s="89"/>
      <c r="K16" s="53"/>
      <c r="L16" s="177">
        <f>L15*60</f>
        <v>420</v>
      </c>
      <c r="M16" s="177">
        <f>M15*60</f>
        <v>420</v>
      </c>
      <c r="N16" s="177">
        <f>N15*60</f>
        <v>420</v>
      </c>
      <c r="O16" s="177">
        <f>O15*60</f>
        <v>420</v>
      </c>
      <c r="P16" s="177">
        <f>P15*60</f>
        <v>420</v>
      </c>
      <c r="Q16" s="89"/>
    </row>
    <row r="17" spans="1:17" ht="12.75" x14ac:dyDescent="0.2">
      <c r="A17" s="160"/>
      <c r="B17" s="89" t="s">
        <v>52</v>
      </c>
      <c r="D17" s="89"/>
      <c r="E17" s="89"/>
      <c r="F17" s="89"/>
      <c r="G17" s="89"/>
      <c r="H17" s="89"/>
      <c r="I17" s="173" t="s">
        <v>74</v>
      </c>
      <c r="K17" s="53"/>
      <c r="L17" s="89"/>
      <c r="M17" s="89"/>
      <c r="N17" s="89"/>
      <c r="O17" s="89"/>
      <c r="P17" s="89"/>
      <c r="Q17" s="173" t="s">
        <v>74</v>
      </c>
    </row>
    <row r="18" spans="1:17" ht="12.75" x14ac:dyDescent="0.2">
      <c r="A18" s="160"/>
      <c r="B18" s="89" t="s">
        <v>40</v>
      </c>
      <c r="D18" s="89"/>
      <c r="E18" s="89"/>
      <c r="F18" s="89"/>
      <c r="G18" s="89"/>
      <c r="H18" s="89"/>
      <c r="I18" s="176">
        <f>I15*4</f>
        <v>140</v>
      </c>
      <c r="K18" s="53"/>
      <c r="L18" s="89"/>
      <c r="M18" s="89"/>
      <c r="N18" s="89"/>
      <c r="O18" s="89"/>
      <c r="P18" s="89"/>
      <c r="Q18" s="176">
        <f>Q15*4</f>
        <v>140</v>
      </c>
    </row>
    <row r="19" spans="1:17" ht="12.75" x14ac:dyDescent="0.2">
      <c r="A19" s="160"/>
      <c r="B19" s="89" t="s">
        <v>87</v>
      </c>
    </row>
    <row r="20" spans="1:17" ht="12.75" x14ac:dyDescent="0.2">
      <c r="A20" s="160"/>
      <c r="B20" s="89"/>
    </row>
    <row r="21" spans="1:17" x14ac:dyDescent="0.25">
      <c r="A21" s="160">
        <v>5</v>
      </c>
      <c r="B21" s="103" t="s">
        <v>45</v>
      </c>
      <c r="C21" s="182">
        <f>MAX(D15:H15,L15:P15)</f>
        <v>7</v>
      </c>
      <c r="H21" s="58"/>
    </row>
    <row r="22" spans="1:17" ht="12.75" hidden="1" x14ac:dyDescent="0.2">
      <c r="B22" s="131"/>
      <c r="C22" s="54">
        <f>std_hours*60</f>
        <v>420</v>
      </c>
      <c r="D22" s="59"/>
      <c r="E22" s="59"/>
      <c r="F22" s="59"/>
      <c r="G22" s="59"/>
      <c r="H22" s="59"/>
      <c r="I22" s="62">
        <f>hrs_4wks*60</f>
        <v>8400</v>
      </c>
    </row>
    <row r="23" spans="1:17" ht="12.75" x14ac:dyDescent="0.2">
      <c r="B23" s="89"/>
    </row>
    <row r="24" spans="1:17" x14ac:dyDescent="0.25">
      <c r="A24" s="89" t="s">
        <v>58</v>
      </c>
    </row>
    <row r="26" spans="1:17" x14ac:dyDescent="0.25">
      <c r="I26" s="65"/>
    </row>
    <row r="28" spans="1:17" ht="12.75" x14ac:dyDescent="0.2">
      <c r="B28" s="123" t="s">
        <v>46</v>
      </c>
      <c r="C28" s="58"/>
    </row>
    <row r="29" spans="1:17" ht="12.75" x14ac:dyDescent="0.2">
      <c r="B29" s="106" t="s">
        <v>77</v>
      </c>
      <c r="C29" s="158">
        <v>45999</v>
      </c>
      <c r="D29" s="89"/>
      <c r="E29" s="89"/>
      <c r="F29" s="89"/>
      <c r="G29" s="89"/>
      <c r="H29" s="89"/>
      <c r="I29" s="89"/>
    </row>
    <row r="30" spans="1:17" ht="12.75" x14ac:dyDescent="0.2">
      <c r="B30" s="106"/>
      <c r="C30" s="159"/>
      <c r="D30" s="89"/>
      <c r="E30" s="89"/>
      <c r="F30" s="89"/>
      <c r="G30" s="89"/>
      <c r="H30" s="89"/>
      <c r="I30" s="89"/>
    </row>
  </sheetData>
  <phoneticPr fontId="0" type="noConversion"/>
  <dataValidations xWindow="843" yWindow="444" count="8">
    <dataValidation type="time" allowBlank="1" showInputMessage="1" showErrorMessage="1" error="Enter the time in 24 hour format, such as 14:00 for 2:00PM" prompt="Enter the time you usually start work" sqref="C10" xr:uid="{00000000-0002-0000-0100-000000000000}">
      <formula1>0</formula1>
      <formula2>0.999305555555556</formula2>
    </dataValidation>
    <dataValidation type="time" allowBlank="1" showInputMessage="1" showErrorMessage="1" error="Enter the time in 24 hour format, such as 14:00 for 2:00PM" prompt="Enter the time you usually start your lunch break" sqref="D10" xr:uid="{00000000-0002-0000-0100-000001000000}">
      <formula1>0</formula1>
      <formula2>0.999305555555556</formula2>
    </dataValidation>
    <dataValidation type="time" allowBlank="1" showInputMessage="1" showErrorMessage="1" error="Enter the time in 24 hour format, such as 14:00 for 2:00PM" prompt="Enter the time you usually finish your lunch break" sqref="F10" xr:uid="{00000000-0002-0000-0100-000002000000}">
      <formula1>0</formula1>
      <formula2>0.999305555555556</formula2>
    </dataValidation>
    <dataValidation type="time" allowBlank="1" showInputMessage="1" showErrorMessage="1" error="Enter the time in 24 hour format, such as 14:00 for 2:00PM" prompt="Enter the time you usually finish work" sqref="G10" xr:uid="{00000000-0002-0000-0100-000003000000}">
      <formula1>0</formula1>
      <formula2>0.999305555555556</formula2>
    </dataValidation>
    <dataValidation allowBlank="1" showErrorMessage="1" prompt="Enter your department name" sqref="C4" xr:uid="{00000000-0002-0000-0100-000004000000}"/>
    <dataValidation allowBlank="1" showErrorMessage="1" prompt="Enter your full name" sqref="C3" xr:uid="{00000000-0002-0000-0100-000005000000}"/>
    <dataValidation type="decimal" allowBlank="1" showInputMessage="1" showErrorMessage="1" prompt="Enter the number of hours which you normally work on this day of the week. --- If you work full time enter 7. If you work 3 and one-half hours enter 3.5. If you don't work on this day enter 0." sqref="D15:H15 L15:P15" xr:uid="{00000000-0002-0000-0100-000006000000}">
      <formula1>0</formula1>
      <formula2>24</formula2>
    </dataValidation>
    <dataValidation type="decimal" allowBlank="1" showErrorMessage="1" error="Enter a number between 0 and 24 inclusive. For full-time staff this should be 7." sqref="C21" xr:uid="{00000000-0002-0000-0100-00000B000000}">
      <formula1>0</formula1>
      <formula2>24</formula2>
    </dataValidation>
  </dataValidations>
  <printOptions horizontalCentered="1" verticalCentered="1"/>
  <pageMargins left="0.47244094488188981" right="0.47244094488188981" top="0.47244094488188981" bottom="0.47244094488188981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F73"/>
  <sheetViews>
    <sheetView tabSelected="1" workbookViewId="0">
      <selection activeCell="G28" sqref="G28"/>
    </sheetView>
  </sheetViews>
  <sheetFormatPr defaultColWidth="8.85546875" defaultRowHeight="12.75" x14ac:dyDescent="0.2"/>
  <cols>
    <col min="1" max="1" width="12.140625" style="1" customWidth="1"/>
    <col min="2" max="2" width="10.28515625" style="1" customWidth="1"/>
    <col min="3" max="4" width="7" style="1" customWidth="1"/>
    <col min="5" max="5" width="8.570312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8.85546875" hidden="1" customWidth="1"/>
    <col min="20" max="20" width="6.140625" style="2" customWidth="1"/>
    <col min="21" max="23" width="4.140625" style="1" customWidth="1"/>
    <col min="24" max="24" width="5.5703125" style="1" customWidth="1"/>
    <col min="25" max="25" width="6.42578125" style="35" hidden="1" customWidth="1"/>
    <col min="26" max="27" width="5.28515625" style="1" customWidth="1"/>
    <col min="28" max="28" width="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33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first_monday</f>
        <v>45999</v>
      </c>
      <c r="V3" s="38"/>
      <c r="W3" s="39"/>
      <c r="X3" s="108" t="s">
        <v>106</v>
      </c>
      <c r="Y3" s="40"/>
      <c r="Z3" s="130">
        <f>A32</f>
        <v>46024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3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6"/>
      <c r="B8" s="206"/>
      <c r="C8" s="207" t="s">
        <v>7</v>
      </c>
      <c r="D8" s="207"/>
      <c r="E8" s="207"/>
      <c r="F8" s="207" t="s">
        <v>8</v>
      </c>
      <c r="G8" s="207"/>
      <c r="H8" s="208"/>
      <c r="I8" s="209" t="s">
        <v>59</v>
      </c>
      <c r="J8" s="208"/>
      <c r="K8" s="210"/>
      <c r="L8" s="52"/>
      <c r="M8" s="209" t="s">
        <v>9</v>
      </c>
      <c r="N8" s="52"/>
      <c r="O8" s="52"/>
      <c r="P8" s="52"/>
      <c r="Q8" s="211"/>
      <c r="R8" s="211"/>
      <c r="S8" s="211"/>
      <c r="T8" s="211"/>
      <c r="U8" s="125" t="s">
        <v>60</v>
      </c>
      <c r="V8" s="125"/>
      <c r="W8" s="125" t="s">
        <v>61</v>
      </c>
      <c r="X8" s="125"/>
      <c r="Y8" s="52" t="s">
        <v>10</v>
      </c>
      <c r="Z8" s="124" t="s">
        <v>11</v>
      </c>
      <c r="AA8" s="212"/>
      <c r="AB8" s="24"/>
    </row>
    <row r="9" spans="1:29" s="17" customFormat="1" ht="21.75" customHeight="1" x14ac:dyDescent="0.2">
      <c r="A9" s="213" t="s">
        <v>12</v>
      </c>
      <c r="B9" s="213" t="s">
        <v>13</v>
      </c>
      <c r="C9" s="213" t="s">
        <v>14</v>
      </c>
      <c r="D9" s="213" t="s">
        <v>15</v>
      </c>
      <c r="E9" s="213" t="s">
        <v>105</v>
      </c>
      <c r="F9" s="213" t="s">
        <v>14</v>
      </c>
      <c r="G9" s="213" t="s">
        <v>15</v>
      </c>
      <c r="H9" s="213" t="s">
        <v>105</v>
      </c>
      <c r="I9" s="213" t="s">
        <v>17</v>
      </c>
      <c r="J9" s="213" t="s">
        <v>18</v>
      </c>
      <c r="K9" s="213" t="s">
        <v>19</v>
      </c>
      <c r="L9" s="213" t="s">
        <v>129</v>
      </c>
      <c r="M9" s="213" t="s">
        <v>71</v>
      </c>
      <c r="N9" s="213" t="s">
        <v>20</v>
      </c>
      <c r="O9" s="213" t="s">
        <v>22</v>
      </c>
      <c r="P9" s="213" t="s">
        <v>62</v>
      </c>
      <c r="Q9" s="213" t="s">
        <v>63</v>
      </c>
      <c r="R9" s="213" t="s">
        <v>64</v>
      </c>
      <c r="S9" s="213" t="s">
        <v>65</v>
      </c>
      <c r="T9" s="213" t="s">
        <v>21</v>
      </c>
      <c r="U9" s="213" t="s">
        <v>17</v>
      </c>
      <c r="V9" s="213" t="s">
        <v>18</v>
      </c>
      <c r="W9" s="213" t="s">
        <v>17</v>
      </c>
      <c r="X9" s="213" t="s">
        <v>18</v>
      </c>
      <c r="Y9" s="213"/>
      <c r="Z9" s="213" t="s">
        <v>20</v>
      </c>
      <c r="AA9" s="213" t="s">
        <v>22</v>
      </c>
      <c r="AB9" s="122" t="s">
        <v>23</v>
      </c>
    </row>
    <row r="10" spans="1:29" s="89" customFormat="1" x14ac:dyDescent="0.2">
      <c r="A10" s="68">
        <f>U3</f>
        <v>45999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67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46000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46001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46002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46003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67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68"/>
      <c r="B15" s="69"/>
      <c r="C15" s="102"/>
      <c r="D15" s="102"/>
      <c r="E15" s="102"/>
      <c r="F15" s="102"/>
      <c r="G15" s="102"/>
      <c r="H15" s="71"/>
      <c r="I15" s="72"/>
      <c r="J15" s="73"/>
      <c r="K15" s="74"/>
      <c r="L15" s="67"/>
      <c r="M15" s="67"/>
      <c r="N15" s="214"/>
      <c r="O15" s="148"/>
      <c r="P15" s="101"/>
      <c r="Q15" s="79"/>
      <c r="R15" s="80"/>
      <c r="S15" s="81"/>
      <c r="T15" s="87"/>
      <c r="U15" s="83"/>
      <c r="V15" s="83"/>
      <c r="W15" s="83"/>
      <c r="X15" s="83"/>
      <c r="Y15" s="79"/>
      <c r="Z15" s="85"/>
      <c r="AA15" s="86"/>
      <c r="AB15" s="87"/>
    </row>
    <row r="16" spans="1:29" s="89" customFormat="1" x14ac:dyDescent="0.2">
      <c r="A16" s="68">
        <f>A14+3</f>
        <v>46006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>D16-C16</f>
        <v>0.14583333333333337</v>
      </c>
      <c r="F16" s="70">
        <f>end_lunch</f>
        <v>0.5625</v>
      </c>
      <c r="G16" s="70">
        <f>end_time</f>
        <v>0.70833333333333337</v>
      </c>
      <c r="H16" s="71">
        <f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67"/>
      <c r="M16" s="75"/>
      <c r="N16" s="76"/>
      <c r="O16" s="77"/>
      <c r="P16" s="78">
        <f>IF(ISNA(MATCH($M16,{2,3,4,5,6,7,10},0)),0,$Q16)</f>
        <v>0</v>
      </c>
      <c r="Q16" s="79">
        <f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46007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>(N17*60)+O17</f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46008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46009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46010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67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68"/>
      <c r="B21" s="69"/>
      <c r="C21" s="71"/>
      <c r="D21" s="71"/>
      <c r="E21" s="102"/>
      <c r="F21" s="71"/>
      <c r="G21" s="71"/>
      <c r="H21" s="71"/>
      <c r="I21" s="72"/>
      <c r="J21" s="73"/>
      <c r="K21" s="74"/>
      <c r="L21" s="67"/>
      <c r="M21" s="67"/>
      <c r="N21" s="214"/>
      <c r="O21" s="148"/>
      <c r="P21" s="101"/>
      <c r="Q21" s="79"/>
      <c r="R21" s="79"/>
      <c r="S21" s="101"/>
      <c r="T21" s="87"/>
      <c r="U21" s="72"/>
      <c r="V21" s="73"/>
      <c r="W21" s="72"/>
      <c r="X21" s="72"/>
      <c r="Y21" s="79"/>
      <c r="Z21" s="85"/>
      <c r="AA21" s="86"/>
      <c r="AB21" s="87"/>
    </row>
    <row r="22" spans="1:28" s="89" customFormat="1" x14ac:dyDescent="0.2">
      <c r="A22" s="68">
        <f>A20+3</f>
        <v>46013</v>
      </c>
      <c r="B22" s="69" t="s">
        <v>24</v>
      </c>
      <c r="C22" s="70"/>
      <c r="D22" s="70"/>
      <c r="E22" s="102">
        <f>D22-C22</f>
        <v>0</v>
      </c>
      <c r="F22" s="200"/>
      <c r="G22" s="200"/>
      <c r="H22" s="71">
        <f>(G22-F22)</f>
        <v>0</v>
      </c>
      <c r="I22" s="72">
        <f>HOUR(E22+H22)</f>
        <v>0</v>
      </c>
      <c r="J22" s="73">
        <f>MINUTE(E22+H22)</f>
        <v>0</v>
      </c>
      <c r="K22" s="74">
        <f>I22*60+J22</f>
        <v>0</v>
      </c>
      <c r="L22" s="67" t="s">
        <v>96</v>
      </c>
      <c r="M22" s="75">
        <v>3</v>
      </c>
      <c r="N22" s="76">
        <v>7</v>
      </c>
      <c r="O22" s="77"/>
      <c r="P22" s="78">
        <f>IF(ISNA(MATCH($M22,{2,3,4,5,6,7,10},0)),0,$Q22)</f>
        <v>420</v>
      </c>
      <c r="Q22" s="79">
        <f>(N22*60)+O22</f>
        <v>420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46014</v>
      </c>
      <c r="B23" s="69" t="s">
        <v>25</v>
      </c>
      <c r="C23" s="200"/>
      <c r="D23" s="200"/>
      <c r="E23" s="102">
        <f>D23-C23</f>
        <v>0</v>
      </c>
      <c r="F23" s="200"/>
      <c r="G23" s="200"/>
      <c r="H23" s="71">
        <f>(G23-F23)</f>
        <v>0</v>
      </c>
      <c r="I23" s="72">
        <f>HOUR(E23+H23)</f>
        <v>0</v>
      </c>
      <c r="J23" s="73">
        <f>MINUTE(E23+H23)</f>
        <v>0</v>
      </c>
      <c r="K23" s="74">
        <f>I23*60+J23</f>
        <v>0</v>
      </c>
      <c r="L23" s="67" t="s">
        <v>96</v>
      </c>
      <c r="M23" s="75">
        <v>3</v>
      </c>
      <c r="N23" s="76">
        <v>7</v>
      </c>
      <c r="O23" s="77"/>
      <c r="P23" s="78">
        <f>IF(ISNA(MATCH($M23,{2,3,4,5,6,7,10},0)),0,$Q23)</f>
        <v>420</v>
      </c>
      <c r="Q23" s="79">
        <f>(N23*60)+O23</f>
        <v>420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46015</v>
      </c>
      <c r="B24" s="69" t="s">
        <v>26</v>
      </c>
      <c r="C24" s="200"/>
      <c r="D24" s="200"/>
      <c r="E24" s="102">
        <f>D24-C24</f>
        <v>0</v>
      </c>
      <c r="F24" s="200"/>
      <c r="G24" s="200"/>
      <c r="H24" s="71">
        <f>(G24-F24)</f>
        <v>0</v>
      </c>
      <c r="I24" s="72">
        <f>HOUR(E24+H24)</f>
        <v>0</v>
      </c>
      <c r="J24" s="73">
        <f>MINUTE(E24+H24)</f>
        <v>0</v>
      </c>
      <c r="K24" s="74">
        <f>I24*60+J24</f>
        <v>0</v>
      </c>
      <c r="L24" s="67" t="s">
        <v>96</v>
      </c>
      <c r="M24" s="75">
        <v>3</v>
      </c>
      <c r="N24" s="76">
        <v>7</v>
      </c>
      <c r="O24" s="77"/>
      <c r="P24" s="78">
        <f>IF(ISNA(MATCH($M24,{2,3,4,5,6,7,10},0)),0,$Q24)</f>
        <v>420</v>
      </c>
      <c r="Q24" s="79">
        <f>(N24*60)+O24</f>
        <v>420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46016</v>
      </c>
      <c r="B25" s="69" t="s">
        <v>27</v>
      </c>
      <c r="C25" s="200"/>
      <c r="D25" s="200"/>
      <c r="E25" s="102">
        <f>D25-C25</f>
        <v>0</v>
      </c>
      <c r="F25" s="200"/>
      <c r="G25" s="200"/>
      <c r="H25" s="71">
        <f>(G25-F25)</f>
        <v>0</v>
      </c>
      <c r="I25" s="72">
        <f>HOUR(E25+H25)</f>
        <v>0</v>
      </c>
      <c r="J25" s="73">
        <f>MINUTE(E25+H25)</f>
        <v>0</v>
      </c>
      <c r="K25" s="74">
        <f>I25*60+J25</f>
        <v>0</v>
      </c>
      <c r="L25" s="67" t="s">
        <v>95</v>
      </c>
      <c r="M25" s="75">
        <v>8</v>
      </c>
      <c r="N25" s="76">
        <v>7</v>
      </c>
      <c r="O25" s="77"/>
      <c r="P25" s="78">
        <f>IF(ISNA(MATCH($M25,{2,3,4,5,6,7,10},0)),0,$Q25)</f>
        <v>0</v>
      </c>
      <c r="Q25" s="79">
        <f>(N25*60)+O25</f>
        <v>420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46017</v>
      </c>
      <c r="B26" s="69" t="s">
        <v>28</v>
      </c>
      <c r="C26" s="200"/>
      <c r="D26" s="200"/>
      <c r="E26" s="102">
        <f>D26-C26</f>
        <v>0</v>
      </c>
      <c r="F26" s="200"/>
      <c r="G26" s="200"/>
      <c r="H26" s="71">
        <f>(G26-F26)</f>
        <v>0</v>
      </c>
      <c r="I26" s="72">
        <f>HOUR(E26+H26)</f>
        <v>0</v>
      </c>
      <c r="J26" s="73">
        <f>MINUTE(E26+H26)</f>
        <v>0</v>
      </c>
      <c r="K26" s="74">
        <f>I26*60+J26</f>
        <v>0</v>
      </c>
      <c r="L26" s="67" t="s">
        <v>95</v>
      </c>
      <c r="M26" s="75">
        <v>8</v>
      </c>
      <c r="N26" s="76">
        <v>7</v>
      </c>
      <c r="O26" s="77"/>
      <c r="P26" s="78">
        <f>IF(ISNA(MATCH($M26,{2,3,4,5,6,7,10},0)),0,$Q26)</f>
        <v>0</v>
      </c>
      <c r="Q26" s="79">
        <f>(N26*60)+O26</f>
        <v>420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68"/>
      <c r="B27" s="69"/>
      <c r="C27" s="71"/>
      <c r="D27" s="71"/>
      <c r="E27" s="102"/>
      <c r="F27" s="71"/>
      <c r="G27" s="71"/>
      <c r="H27" s="71"/>
      <c r="I27" s="72"/>
      <c r="J27" s="73"/>
      <c r="K27" s="74"/>
      <c r="L27" s="67"/>
      <c r="M27" s="67"/>
      <c r="N27" s="214"/>
      <c r="O27" s="148"/>
      <c r="P27" s="101"/>
      <c r="Q27" s="79"/>
      <c r="R27" s="79"/>
      <c r="S27" s="101"/>
      <c r="T27" s="87"/>
      <c r="U27" s="72"/>
      <c r="V27" s="73"/>
      <c r="W27" s="72"/>
      <c r="X27" s="72"/>
      <c r="Y27" s="79"/>
      <c r="Z27" s="85"/>
      <c r="AA27" s="86"/>
      <c r="AB27" s="87"/>
    </row>
    <row r="28" spans="1:28" s="89" customFormat="1" x14ac:dyDescent="0.2">
      <c r="A28" s="68">
        <f>A26+3</f>
        <v>46020</v>
      </c>
      <c r="B28" s="69" t="s">
        <v>24</v>
      </c>
      <c r="C28" s="200"/>
      <c r="D28" s="200"/>
      <c r="E28" s="102">
        <f>D28-C28</f>
        <v>0</v>
      </c>
      <c r="F28" s="200"/>
      <c r="G28" s="200"/>
      <c r="H28" s="71">
        <f>(G28-F28)</f>
        <v>0</v>
      </c>
      <c r="I28" s="72">
        <f>HOUR(E28+H28)</f>
        <v>0</v>
      </c>
      <c r="J28" s="73">
        <f>MINUTE(E28+H28)</f>
        <v>0</v>
      </c>
      <c r="K28" s="74">
        <f>I28*60+J28</f>
        <v>0</v>
      </c>
      <c r="L28" s="67" t="s">
        <v>92</v>
      </c>
      <c r="M28" s="75">
        <v>9</v>
      </c>
      <c r="N28" s="76">
        <v>7</v>
      </c>
      <c r="O28" s="77"/>
      <c r="P28" s="78">
        <f>IF(ISNA(MATCH($M28,{2,3,4,5,6,7,10},0)),0,$Q28)</f>
        <v>0</v>
      </c>
      <c r="Q28" s="79">
        <f>(N28*60)+O28</f>
        <v>420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2">INT(ABS(Y28/60))</f>
        <v>0</v>
      </c>
      <c r="AA28" s="86">
        <f t="shared" ref="AA28:AA33" si="3">MOD(ABS(Y28),60)</f>
        <v>0</v>
      </c>
      <c r="AB28" s="87" t="str">
        <f t="shared" ref="AB28:AB33" si="4">IF(Y28 &lt;0,"DB","CR")</f>
        <v>CR</v>
      </c>
    </row>
    <row r="29" spans="1:28" s="89" customFormat="1" x14ac:dyDescent="0.2">
      <c r="A29" s="68">
        <f>A28+1</f>
        <v>46021</v>
      </c>
      <c r="B29" s="69" t="s">
        <v>25</v>
      </c>
      <c r="C29" s="200"/>
      <c r="D29" s="200"/>
      <c r="E29" s="102">
        <f>D29-C29</f>
        <v>0</v>
      </c>
      <c r="F29" s="200"/>
      <c r="G29" s="200"/>
      <c r="H29" s="71">
        <f>(G29-F29)</f>
        <v>0</v>
      </c>
      <c r="I29" s="72">
        <f>HOUR(E29+H29)</f>
        <v>0</v>
      </c>
      <c r="J29" s="73">
        <f>MINUTE(E29+H29)</f>
        <v>0</v>
      </c>
      <c r="K29" s="74">
        <f>I29*60+J29</f>
        <v>0</v>
      </c>
      <c r="L29" s="67" t="s">
        <v>92</v>
      </c>
      <c r="M29" s="75">
        <v>9</v>
      </c>
      <c r="N29" s="76">
        <v>7</v>
      </c>
      <c r="O29" s="77"/>
      <c r="P29" s="78">
        <f>IF(ISNA(MATCH($M29,{2,3,4,5,6,7,10},0)),0,$Q29)</f>
        <v>0</v>
      </c>
      <c r="Q29" s="79">
        <f>(N29*60)+O29</f>
        <v>420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2"/>
        <v>0</v>
      </c>
      <c r="AA29" s="86">
        <f t="shared" si="3"/>
        <v>0</v>
      </c>
      <c r="AB29" s="87" t="str">
        <f t="shared" si="4"/>
        <v>CR</v>
      </c>
    </row>
    <row r="30" spans="1:28" s="89" customFormat="1" x14ac:dyDescent="0.2">
      <c r="A30" s="68">
        <f>A29+1</f>
        <v>46022</v>
      </c>
      <c r="B30" s="69" t="s">
        <v>26</v>
      </c>
      <c r="C30" s="200"/>
      <c r="D30" s="200"/>
      <c r="E30" s="102">
        <f>D30-C30</f>
        <v>0</v>
      </c>
      <c r="F30" s="200"/>
      <c r="G30" s="200"/>
      <c r="H30" s="71">
        <f>(G30-F30)</f>
        <v>0</v>
      </c>
      <c r="I30" s="72">
        <f>HOUR(E30+H30)</f>
        <v>0</v>
      </c>
      <c r="J30" s="73">
        <f>MINUTE(E30+H30)</f>
        <v>0</v>
      </c>
      <c r="K30" s="74">
        <f>I30*60+J30</f>
        <v>0</v>
      </c>
      <c r="L30" s="67" t="s">
        <v>92</v>
      </c>
      <c r="M30" s="75">
        <v>9</v>
      </c>
      <c r="N30" s="76">
        <v>7</v>
      </c>
      <c r="O30" s="77"/>
      <c r="P30" s="78">
        <f>IF(ISNA(MATCH($M30,{2,3,4,5,6,7,10},0)),0,$Q30)</f>
        <v>0</v>
      </c>
      <c r="Q30" s="79">
        <f>(N30*60)+O30</f>
        <v>420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2"/>
        <v>0</v>
      </c>
      <c r="AA30" s="86">
        <f t="shared" si="3"/>
        <v>0</v>
      </c>
      <c r="AB30" s="87" t="str">
        <f t="shared" si="4"/>
        <v>CR</v>
      </c>
    </row>
    <row r="31" spans="1:28" s="89" customFormat="1" x14ac:dyDescent="0.2">
      <c r="A31" s="68">
        <f>A30+1</f>
        <v>46023</v>
      </c>
      <c r="B31" s="69" t="s">
        <v>27</v>
      </c>
      <c r="C31" s="200"/>
      <c r="D31" s="200"/>
      <c r="E31" s="102">
        <f>D31-C31</f>
        <v>0</v>
      </c>
      <c r="F31" s="200"/>
      <c r="G31" s="200"/>
      <c r="H31" s="71">
        <f>(G31-F31)</f>
        <v>0</v>
      </c>
      <c r="I31" s="72">
        <f>HOUR(E31+H31)</f>
        <v>0</v>
      </c>
      <c r="J31" s="73">
        <f>MINUTE(E31+H31)</f>
        <v>0</v>
      </c>
      <c r="K31" s="74">
        <f>I31*60+J31</f>
        <v>0</v>
      </c>
      <c r="L31" s="67" t="s">
        <v>95</v>
      </c>
      <c r="M31" s="75">
        <v>8</v>
      </c>
      <c r="N31" s="76">
        <v>7</v>
      </c>
      <c r="O31" s="77"/>
      <c r="P31" s="78">
        <f>IF(ISNA(MATCH($M31,{2,3,4,5,6,7,10},0)),0,$Q31)</f>
        <v>0</v>
      </c>
      <c r="Q31" s="79">
        <f>(N31*60)+O31</f>
        <v>420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2"/>
        <v>0</v>
      </c>
      <c r="AA31" s="86">
        <f t="shared" si="3"/>
        <v>0</v>
      </c>
      <c r="AB31" s="87" t="str">
        <f t="shared" si="4"/>
        <v>CR</v>
      </c>
    </row>
    <row r="32" spans="1:28" s="89" customFormat="1" x14ac:dyDescent="0.2">
      <c r="A32" s="68">
        <f>A31+1</f>
        <v>46024</v>
      </c>
      <c r="B32" s="69" t="s">
        <v>28</v>
      </c>
      <c r="C32" s="200"/>
      <c r="D32" s="200"/>
      <c r="E32" s="102">
        <f>D32-C32</f>
        <v>0</v>
      </c>
      <c r="F32" s="200"/>
      <c r="G32" s="200"/>
      <c r="H32" s="71">
        <f>(G32-F32)</f>
        <v>0</v>
      </c>
      <c r="I32" s="72">
        <f>HOUR(E32+H32)</f>
        <v>0</v>
      </c>
      <c r="J32" s="73">
        <f>MINUTE(E32+H32)</f>
        <v>0</v>
      </c>
      <c r="K32" s="74">
        <f>I32*60+J32</f>
        <v>0</v>
      </c>
      <c r="L32" s="67" t="s">
        <v>92</v>
      </c>
      <c r="M32" s="75">
        <v>9</v>
      </c>
      <c r="N32" s="76">
        <v>7</v>
      </c>
      <c r="O32" s="77"/>
      <c r="P32" s="78">
        <f>IF(ISNA(MATCH($M32,{2,3,4,5,6,7,10},0)),0,$Q32)</f>
        <v>0</v>
      </c>
      <c r="Q32" s="79">
        <f>(N32*60)+O32</f>
        <v>420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2"/>
        <v>0</v>
      </c>
      <c r="AA32" s="86">
        <f t="shared" si="3"/>
        <v>0</v>
      </c>
      <c r="AB32" s="87" t="str">
        <f t="shared" si="4"/>
        <v>CR</v>
      </c>
    </row>
    <row r="33" spans="1:32" ht="15.75" x14ac:dyDescent="0.25">
      <c r="A33" s="24"/>
      <c r="B33" s="24"/>
      <c r="C33" s="24"/>
      <c r="D33" s="24"/>
      <c r="E33" s="24"/>
      <c r="F33" s="24"/>
      <c r="G33" s="24"/>
      <c r="H33" s="215" t="s">
        <v>66</v>
      </c>
      <c r="I33" s="216">
        <f>SUM(I10:I32)+INT(SUM(J10:J32)/60)</f>
        <v>70</v>
      </c>
      <c r="J33" s="217">
        <f>(SUM(J10:J32)/60 -INT((SUM(J10:J32))/60))*60</f>
        <v>0</v>
      </c>
      <c r="K33" s="218"/>
      <c r="L33" s="219"/>
      <c r="M33" s="215" t="s">
        <v>128</v>
      </c>
      <c r="N33" s="220">
        <f>SUM(N10:N32)+INT(SUM(O10:O32)/60)</f>
        <v>70</v>
      </c>
      <c r="O33" s="221">
        <f>(SUM(O10:O32)/60 -INT((SUM(O10:O32))/60))*60</f>
        <v>0</v>
      </c>
      <c r="P33" s="222"/>
      <c r="Q33" s="24"/>
      <c r="R33" s="24"/>
      <c r="S33" s="211"/>
      <c r="T33" s="211"/>
      <c r="U33" s="24"/>
      <c r="V33" s="24"/>
      <c r="W33" s="24"/>
      <c r="X33" s="215" t="s">
        <v>67</v>
      </c>
      <c r="Y33" s="223">
        <f>Y32-Y6</f>
        <v>0</v>
      </c>
      <c r="Z33" s="224">
        <f t="shared" si="2"/>
        <v>0</v>
      </c>
      <c r="AA33" s="225">
        <f t="shared" si="3"/>
        <v>0</v>
      </c>
      <c r="AB33" s="226" t="str">
        <f t="shared" si="4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17"/>
      <c r="I34" s="17"/>
      <c r="J34" s="17"/>
      <c r="K34" s="17"/>
      <c r="L34" s="105"/>
      <c r="M34" s="106" t="s">
        <v>104</v>
      </c>
      <c r="N34" s="204">
        <f>INT(ABS(SUM(P10:P32)/60))</f>
        <v>21</v>
      </c>
      <c r="O34" s="205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12:25" x14ac:dyDescent="0.2">
      <c r="Y49" s="10"/>
    </row>
    <row r="50" spans="12:25" x14ac:dyDescent="0.2">
      <c r="Y50" s="10"/>
    </row>
    <row r="51" spans="12:25" x14ac:dyDescent="0.2">
      <c r="Y51" s="10"/>
    </row>
    <row r="52" spans="12:25" x14ac:dyDescent="0.2">
      <c r="Y52" s="10"/>
    </row>
    <row r="53" spans="12:25" x14ac:dyDescent="0.2">
      <c r="L53" s="51"/>
      <c r="M53" s="60"/>
      <c r="N53" s="61"/>
      <c r="Y53" s="10"/>
    </row>
    <row r="54" spans="12:25" x14ac:dyDescent="0.2">
      <c r="Y54" s="10"/>
    </row>
    <row r="55" spans="12:25" x14ac:dyDescent="0.2">
      <c r="Y55" s="10"/>
    </row>
    <row r="56" spans="12:25" x14ac:dyDescent="0.2">
      <c r="Y56" s="10"/>
    </row>
    <row r="57" spans="12:25" x14ac:dyDescent="0.2">
      <c r="Y57" s="10"/>
    </row>
    <row r="58" spans="12:25" x14ac:dyDescent="0.2">
      <c r="Y58" s="10"/>
    </row>
    <row r="59" spans="12:25" x14ac:dyDescent="0.2">
      <c r="Y59" s="10"/>
    </row>
    <row r="60" spans="12:25" x14ac:dyDescent="0.2">
      <c r="Y60" s="10"/>
    </row>
    <row r="61" spans="12:25" x14ac:dyDescent="0.2">
      <c r="Y61" s="10"/>
    </row>
    <row r="62" spans="12:25" x14ac:dyDescent="0.2">
      <c r="Y62" s="10"/>
    </row>
    <row r="63" spans="12:25" x14ac:dyDescent="0.2">
      <c r="Y63" s="10"/>
    </row>
    <row r="64" spans="12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  <row r="73" spans="25:25" x14ac:dyDescent="0.2">
      <c r="Y73" s="10"/>
    </row>
  </sheetData>
  <sheetProtection algorithmName="SHA-512" hashValue="RikYJvJnuuoNcjmupVtN2NAucjcYMUsr7mOBTt0arMeJ1JzZ0xgJ/McBN33j297lNSR2oFcUVev0bJJJ0uB/IA==" saltValue="zYDzviM3/8g6esY5Wb8klg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conditionalFormatting sqref="L53">
    <cfRule type="cellIs" dxfId="1" priority="1" stopIfTrue="1" operator="equal">
      <formula>"alert"</formula>
    </cfRule>
  </conditionalFormatting>
  <dataValidations count="9">
    <dataValidation type="whole" allowBlank="1" showInputMessage="1" showErrorMessage="1" error="Enter a Leave Type number between 1 and 11" sqref="M15 M21 M27" xr:uid="{00000000-0002-0000-0200-000000000000}">
      <formula1>1</formula1>
      <formula2>11</formula2>
    </dataValidation>
    <dataValidation type="time" allowBlank="1" showInputMessage="1" showErrorMessage="1" error="Enter the time in 24 hour format, such as 14:00 for 2:00PM" sqref="F28:G32 C10:D14 C16:D20 F22:G26 C22:D26 C28:D32 F10:G14 F16:G20" xr:uid="{00000000-0002-0000-02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22:O26 O28:O32 O10:O14" xr:uid="{00000000-0002-0000-02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8:N30 N22:N24 N32" xr:uid="{A14D5795-6A29-4D69-B6F6-6D3A2A397D8B}">
      <formula1>0</formula1>
      <formula2>mon_hrs</formula2>
    </dataValidation>
    <dataValidation type="whole" allowBlank="1" showErrorMessage="1" error="Enter a leave type between 1 and 13 inclusive. Refer to the *TYPE table at the bottom of this page." sqref="M22:M26 M10:M14 M16:M20 M28:M32" xr:uid="{00000000-0002-0000-02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0 N16" xr:uid="{00000000-0002-0000-02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17" xr:uid="{00000000-0002-0000-02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18" xr:uid="{00000000-0002-0000-02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:N14 N19:N20 N25:N26 N31" xr:uid="{00000000-0002-0000-0200-00000C000000}">
      <formula1>0</formula1>
      <formula2>thu_hrs2</formula2>
    </dataValidation>
  </dataValidations>
  <pageMargins left="0.27559055118110237" right="0.27559055118110237" top="0.47244094488188981" bottom="0.47244094488188981" header="0.51181102362204722" footer="0.51181102362204722"/>
  <pageSetup paperSize="9" scale="98" orientation="landscape" blackAndWhite="1" r:id="rId1"/>
  <headerFooter alignWithMargins="0"/>
  <ignoredErrors>
    <ignoredError sqref="E30:E32 E16:E29 E10:E14 C10:D14 F10:G14 C16:D20 F16:G2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F72"/>
  <sheetViews>
    <sheetView zoomScaleNormal="100" workbookViewId="0">
      <selection activeCell="AD20" sqref="AD20"/>
    </sheetView>
  </sheetViews>
  <sheetFormatPr defaultColWidth="8.85546875" defaultRowHeight="12.75" x14ac:dyDescent="0.2"/>
  <cols>
    <col min="1" max="1" width="12.140625" style="1" customWidth="1"/>
    <col min="2" max="2" width="10.28515625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9.140625" hidden="1" customWidth="1"/>
    <col min="20" max="20" width="6.140625" style="2" customWidth="1"/>
    <col min="21" max="23" width="4.140625" style="1" customWidth="1"/>
    <col min="24" max="24" width="5.5703125" style="1" customWidth="1"/>
    <col min="25" max="25" width="6.42578125" style="35" hidden="1" customWidth="1"/>
    <col min="26" max="27" width="5.28515625" style="1" customWidth="1"/>
    <col min="28" max="28" width="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09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3+sheet_end_date_p01</f>
        <v>46027</v>
      </c>
      <c r="V3" s="38"/>
      <c r="W3" s="39"/>
      <c r="X3" s="108" t="s">
        <v>106</v>
      </c>
      <c r="Y3" s="40"/>
      <c r="Z3" s="130">
        <f>A32</f>
        <v>46052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1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"/>
      <c r="B8" s="20"/>
      <c r="C8" s="117" t="s">
        <v>7</v>
      </c>
      <c r="D8" s="118"/>
      <c r="E8" s="118"/>
      <c r="F8" s="119" t="s">
        <v>8</v>
      </c>
      <c r="G8" s="118"/>
      <c r="H8" s="21"/>
      <c r="I8" s="46" t="s">
        <v>59</v>
      </c>
      <c r="J8" s="21"/>
      <c r="K8" s="13"/>
      <c r="L8" s="22"/>
      <c r="M8" s="47" t="s">
        <v>9</v>
      </c>
      <c r="N8" s="48"/>
      <c r="O8" s="48"/>
      <c r="P8" s="52"/>
      <c r="Q8" s="15"/>
      <c r="R8" s="15"/>
      <c r="S8" s="15"/>
      <c r="T8" s="149"/>
      <c r="U8" s="125" t="s">
        <v>60</v>
      </c>
      <c r="V8" s="126"/>
      <c r="W8" s="116" t="s">
        <v>61</v>
      </c>
      <c r="X8" s="125"/>
      <c r="Y8" s="52" t="s">
        <v>10</v>
      </c>
      <c r="Z8" s="124" t="s">
        <v>11</v>
      </c>
      <c r="AA8" s="23"/>
      <c r="AB8" s="24"/>
    </row>
    <row r="9" spans="1:29" s="17" customFormat="1" ht="21.75" customHeight="1" x14ac:dyDescent="0.2">
      <c r="A9" s="121" t="s">
        <v>12</v>
      </c>
      <c r="B9" s="121" t="s">
        <v>13</v>
      </c>
      <c r="C9" s="121" t="s">
        <v>14</v>
      </c>
      <c r="D9" s="121" t="s">
        <v>15</v>
      </c>
      <c r="E9" s="121" t="s">
        <v>105</v>
      </c>
      <c r="F9" s="121" t="s">
        <v>14</v>
      </c>
      <c r="G9" s="121" t="s">
        <v>15</v>
      </c>
      <c r="H9" s="121" t="s">
        <v>105</v>
      </c>
      <c r="I9" s="121" t="s">
        <v>17</v>
      </c>
      <c r="J9" s="121" t="s">
        <v>18</v>
      </c>
      <c r="K9" s="121" t="s">
        <v>19</v>
      </c>
      <c r="L9" s="121" t="s">
        <v>129</v>
      </c>
      <c r="M9" s="121" t="s">
        <v>71</v>
      </c>
      <c r="N9" s="121" t="s">
        <v>20</v>
      </c>
      <c r="O9" s="121" t="s">
        <v>22</v>
      </c>
      <c r="P9" s="121" t="s">
        <v>62</v>
      </c>
      <c r="Q9" s="121" t="s">
        <v>63</v>
      </c>
      <c r="R9" s="121" t="s">
        <v>64</v>
      </c>
      <c r="S9" s="121" t="s">
        <v>65</v>
      </c>
      <c r="T9" s="121" t="s">
        <v>21</v>
      </c>
      <c r="U9" s="121" t="s">
        <v>17</v>
      </c>
      <c r="V9" s="121" t="s">
        <v>18</v>
      </c>
      <c r="W9" s="121" t="s">
        <v>17</v>
      </c>
      <c r="X9" s="121" t="s">
        <v>18</v>
      </c>
      <c r="Y9" s="121"/>
      <c r="Z9" s="121" t="s">
        <v>20</v>
      </c>
      <c r="AA9" s="121" t="s">
        <v>22</v>
      </c>
      <c r="AB9" s="122" t="s">
        <v>23</v>
      </c>
    </row>
    <row r="10" spans="1:29" s="89" customFormat="1" x14ac:dyDescent="0.2">
      <c r="A10" s="68">
        <f>U3</f>
        <v>46027</v>
      </c>
      <c r="B10" s="69" t="s">
        <v>24</v>
      </c>
      <c r="C10" s="70"/>
      <c r="D10" s="70"/>
      <c r="E10" s="102">
        <f>D10-C10</f>
        <v>0</v>
      </c>
      <c r="F10" s="70"/>
      <c r="G10" s="70"/>
      <c r="H10" s="71">
        <f>(G10-F10)</f>
        <v>0</v>
      </c>
      <c r="I10" s="72">
        <f>HOUR(E10+H10)</f>
        <v>0</v>
      </c>
      <c r="J10" s="73">
        <f>MINUTE(E10+H10)</f>
        <v>0</v>
      </c>
      <c r="K10" s="74">
        <f>I10*60+J10</f>
        <v>0</v>
      </c>
      <c r="L10" s="67" t="s">
        <v>96</v>
      </c>
      <c r="M10" s="75">
        <v>3</v>
      </c>
      <c r="N10" s="76">
        <v>7</v>
      </c>
      <c r="O10" s="77"/>
      <c r="P10" s="78">
        <f>IF(ISNA(MATCH($M10,{2,3,4,5,6,7,10},0)),0,$Q10)</f>
        <v>420</v>
      </c>
      <c r="Q10" s="79">
        <f>(N10*60)+O10</f>
        <v>420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46028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46029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46030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46031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100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102"/>
      <c r="D15" s="102"/>
      <c r="E15" s="102"/>
      <c r="F15" s="102"/>
      <c r="G15" s="102"/>
      <c r="H15" s="71"/>
      <c r="I15" s="72"/>
      <c r="J15" s="73"/>
      <c r="K15" s="92"/>
      <c r="L15" s="67"/>
      <c r="M15" s="144"/>
      <c r="N15" s="145"/>
      <c r="O15" s="146"/>
      <c r="P15" s="93"/>
      <c r="Q15" s="79"/>
      <c r="R15" s="80"/>
      <c r="S15" s="81"/>
      <c r="T15" s="94"/>
      <c r="U15" s="83"/>
      <c r="V15" s="83"/>
      <c r="W15" s="83"/>
      <c r="X15" s="83"/>
      <c r="Y15" s="131"/>
      <c r="Z15" s="95"/>
      <c r="AA15" s="96"/>
      <c r="AB15" s="94"/>
    </row>
    <row r="16" spans="1:29" s="89" customFormat="1" x14ac:dyDescent="0.2">
      <c r="A16" s="68">
        <f>A14+3</f>
        <v>46034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>D16-C16</f>
        <v>0.14583333333333337</v>
      </c>
      <c r="F16" s="70">
        <f>end_lunch</f>
        <v>0.5625</v>
      </c>
      <c r="G16" s="70">
        <f>end_time</f>
        <v>0.70833333333333337</v>
      </c>
      <c r="H16" s="71">
        <f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132"/>
      <c r="M16" s="75"/>
      <c r="N16" s="75"/>
      <c r="O16" s="77">
        <v>0</v>
      </c>
      <c r="P16" s="78">
        <f>IF(ISNA(MATCH($M19,{2,3,4,5,6,7,10},0)),0,$Q16)</f>
        <v>0</v>
      </c>
      <c r="Q16" s="79">
        <f t="shared" ref="Q16:Q18" si="2"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 t="shared" ref="U16" si="3"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46035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 t="shared" si="2"/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 t="shared" ref="U17:U20" si="4"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46036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 t="shared" si="2"/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 t="shared" si="4"/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46037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5"/>
      <c r="O19" s="75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 t="shared" si="4"/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46038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67"/>
      <c r="M20" s="75"/>
      <c r="N20" s="75"/>
      <c r="O20" s="75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 t="shared" si="4"/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90"/>
      <c r="B21" s="91"/>
      <c r="C21" s="102"/>
      <c r="D21" s="102"/>
      <c r="E21" s="102"/>
      <c r="F21" s="102"/>
      <c r="G21" s="102"/>
      <c r="H21" s="71"/>
      <c r="I21" s="72"/>
      <c r="J21" s="73"/>
      <c r="K21" s="92"/>
      <c r="L21" s="144"/>
      <c r="M21" s="144"/>
      <c r="N21" s="145"/>
      <c r="O21" s="146"/>
      <c r="P21" s="93"/>
      <c r="Q21" s="97"/>
      <c r="R21" s="97"/>
      <c r="S21" s="93"/>
      <c r="T21" s="94"/>
      <c r="U21" s="98"/>
      <c r="V21" s="99"/>
      <c r="W21" s="98"/>
      <c r="X21" s="98"/>
      <c r="Y21" s="131"/>
      <c r="Z21" s="95"/>
      <c r="AA21" s="96"/>
      <c r="AB21" s="94"/>
    </row>
    <row r="22" spans="1:28" s="89" customFormat="1" x14ac:dyDescent="0.2">
      <c r="A22" s="68">
        <f>A20+3</f>
        <v>46041</v>
      </c>
      <c r="B22" s="69" t="s">
        <v>24</v>
      </c>
      <c r="C22" s="70">
        <f>start_time</f>
        <v>0.375</v>
      </c>
      <c r="D22" s="70">
        <f>start_lunch</f>
        <v>0.52083333333333337</v>
      </c>
      <c r="E22" s="102">
        <f>D22-C22</f>
        <v>0.14583333333333337</v>
      </c>
      <c r="F22" s="70">
        <f>end_lunch</f>
        <v>0.5625</v>
      </c>
      <c r="G22" s="70">
        <f>end_time</f>
        <v>0.70833333333333337</v>
      </c>
      <c r="H22" s="71">
        <f>(G22-F22)</f>
        <v>0.14583333333333337</v>
      </c>
      <c r="I22" s="72">
        <f>HOUR(E22+H22)</f>
        <v>7</v>
      </c>
      <c r="J22" s="73">
        <f>MINUTE(E22+H22)</f>
        <v>0</v>
      </c>
      <c r="K22" s="74">
        <f>I22*60+J22</f>
        <v>420</v>
      </c>
      <c r="L22" s="67"/>
      <c r="M22" s="75"/>
      <c r="N22" s="76"/>
      <c r="O22" s="77"/>
      <c r="P22" s="78">
        <f>IF(ISNA(MATCH($M22,{2,3,4,5,6,7,10},0)),0,$Q22)</f>
        <v>0</v>
      </c>
      <c r="Q22" s="79">
        <f>(N22*60)+O22</f>
        <v>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46042</v>
      </c>
      <c r="B23" s="69" t="s">
        <v>25</v>
      </c>
      <c r="C23" s="70">
        <f>start_time</f>
        <v>0.375</v>
      </c>
      <c r="D23" s="70">
        <f>start_lunch</f>
        <v>0.52083333333333337</v>
      </c>
      <c r="E23" s="71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142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46043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6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46044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6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46045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M26" s="75"/>
      <c r="N26" s="76"/>
      <c r="O26" s="77"/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90"/>
      <c r="B27" s="91"/>
      <c r="C27" s="102"/>
      <c r="D27" s="102"/>
      <c r="E27" s="102"/>
      <c r="F27" s="102"/>
      <c r="G27" s="102"/>
      <c r="H27" s="71"/>
      <c r="I27" s="72"/>
      <c r="J27" s="73"/>
      <c r="K27" s="92"/>
      <c r="L27" s="143"/>
      <c r="M27" s="144"/>
      <c r="N27" s="145"/>
      <c r="O27" s="148"/>
      <c r="P27" s="93"/>
      <c r="Q27" s="97"/>
      <c r="R27" s="97"/>
      <c r="S27" s="101"/>
      <c r="T27" s="94"/>
      <c r="U27" s="98"/>
      <c r="V27" s="99"/>
      <c r="W27" s="98"/>
      <c r="X27" s="98"/>
      <c r="Y27" s="131"/>
      <c r="Z27" s="95"/>
      <c r="AA27" s="96"/>
      <c r="AB27" s="94"/>
    </row>
    <row r="28" spans="1:28" s="89" customFormat="1" x14ac:dyDescent="0.2">
      <c r="A28" s="68">
        <f>A26+3</f>
        <v>46048</v>
      </c>
      <c r="B28" s="69" t="s">
        <v>24</v>
      </c>
      <c r="C28" s="70"/>
      <c r="D28" s="70"/>
      <c r="E28" s="102">
        <f>D28-C28</f>
        <v>0</v>
      </c>
      <c r="F28" s="70"/>
      <c r="G28" s="70"/>
      <c r="H28" s="71">
        <f>(G28-F28)</f>
        <v>0</v>
      </c>
      <c r="I28" s="72">
        <f>HOUR(E28+H28)</f>
        <v>0</v>
      </c>
      <c r="J28" s="73">
        <f>MINUTE(E28+H28)</f>
        <v>0</v>
      </c>
      <c r="K28" s="74">
        <f>I28*60+J28</f>
        <v>0</v>
      </c>
      <c r="L28" s="67" t="s">
        <v>95</v>
      </c>
      <c r="M28" s="75">
        <v>8</v>
      </c>
      <c r="N28" s="76">
        <v>7</v>
      </c>
      <c r="O28" s="77"/>
      <c r="P28" s="78">
        <f>IF(ISNA(MATCH($M28,{2,3,4,5,6,7,10},0)),0,$Q28)</f>
        <v>0</v>
      </c>
      <c r="Q28" s="79">
        <f>(N28*60)+O28</f>
        <v>420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5">INT(ABS(Y28/60))</f>
        <v>0</v>
      </c>
      <c r="AA28" s="86">
        <f t="shared" ref="AA28:AA33" si="6">MOD(ABS(Y28),60)</f>
        <v>0</v>
      </c>
      <c r="AB28" s="87" t="str">
        <f t="shared" ref="AB28:AB33" si="7">IF(Y28 &lt;0,"DB","CR")</f>
        <v>CR</v>
      </c>
    </row>
    <row r="29" spans="1:28" s="89" customFormat="1" x14ac:dyDescent="0.2">
      <c r="A29" s="68">
        <f>A28+1</f>
        <v>46049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6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5"/>
        <v>0</v>
      </c>
      <c r="AA29" s="86">
        <f t="shared" si="6"/>
        <v>0</v>
      </c>
      <c r="AB29" s="87" t="str">
        <f t="shared" si="7"/>
        <v>CR</v>
      </c>
    </row>
    <row r="30" spans="1:28" s="89" customFormat="1" x14ac:dyDescent="0.2">
      <c r="A30" s="68">
        <f>A29+1</f>
        <v>46050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5"/>
        <v>0</v>
      </c>
      <c r="AA30" s="86">
        <f t="shared" si="6"/>
        <v>0</v>
      </c>
      <c r="AB30" s="87" t="str">
        <f t="shared" si="7"/>
        <v>CR</v>
      </c>
    </row>
    <row r="31" spans="1:28" s="89" customFormat="1" x14ac:dyDescent="0.2">
      <c r="A31" s="68">
        <f>A30+1</f>
        <v>46051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67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5"/>
        <v>0</v>
      </c>
      <c r="AA31" s="86">
        <f t="shared" si="6"/>
        <v>0</v>
      </c>
      <c r="AB31" s="87" t="str">
        <f t="shared" si="7"/>
        <v>CR</v>
      </c>
    </row>
    <row r="32" spans="1:28" s="89" customFormat="1" x14ac:dyDescent="0.2">
      <c r="A32" s="68">
        <f>A31+1</f>
        <v>46052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100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5"/>
        <v>0</v>
      </c>
      <c r="AA32" s="86">
        <f t="shared" si="6"/>
        <v>0</v>
      </c>
      <c r="AB32" s="87" t="str">
        <f t="shared" si="7"/>
        <v>CR</v>
      </c>
    </row>
    <row r="33" spans="1:32" ht="15.75" x14ac:dyDescent="0.25">
      <c r="H33" s="104" t="s">
        <v>66</v>
      </c>
      <c r="I33" s="139">
        <f>SUM(I10:I32)+INT(SUM(J10:J32)/60)</f>
        <v>126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14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5"/>
        <v>0</v>
      </c>
      <c r="AA33" s="135">
        <f t="shared" si="6"/>
        <v>0</v>
      </c>
      <c r="AB33" s="138" t="str">
        <f t="shared" si="7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26"/>
      <c r="I34" s="27"/>
      <c r="J34" s="17"/>
      <c r="K34" s="17"/>
      <c r="L34" s="29"/>
      <c r="M34" s="106" t="s">
        <v>104</v>
      </c>
      <c r="N34" s="85">
        <f>INT(ABS(SUM(P10:P32)/60))</f>
        <v>7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25:25" x14ac:dyDescent="0.2">
      <c r="Y49" s="10"/>
    </row>
    <row r="50" spans="25:25" x14ac:dyDescent="0.2">
      <c r="Y50" s="10"/>
    </row>
    <row r="51" spans="25:25" x14ac:dyDescent="0.2">
      <c r="Y51" s="10"/>
    </row>
    <row r="52" spans="25:25" x14ac:dyDescent="0.2">
      <c r="Y52" s="10"/>
    </row>
    <row r="53" spans="25:25" x14ac:dyDescent="0.2">
      <c r="Y53" s="10"/>
    </row>
    <row r="54" spans="25:25" x14ac:dyDescent="0.2">
      <c r="Y54" s="10"/>
    </row>
    <row r="55" spans="25:25" x14ac:dyDescent="0.2">
      <c r="Y55" s="10"/>
    </row>
    <row r="56" spans="25:25" x14ac:dyDescent="0.2">
      <c r="Y56" s="10"/>
    </row>
    <row r="57" spans="25:25" x14ac:dyDescent="0.2">
      <c r="Y57" s="10"/>
    </row>
    <row r="58" spans="25:25" x14ac:dyDescent="0.2">
      <c r="Y58" s="10"/>
    </row>
    <row r="59" spans="25:25" x14ac:dyDescent="0.2">
      <c r="Y59" s="10"/>
    </row>
    <row r="60" spans="25:25" x14ac:dyDescent="0.2">
      <c r="Y60" s="10"/>
    </row>
    <row r="61" spans="25:25" x14ac:dyDescent="0.2">
      <c r="Y61" s="10"/>
    </row>
    <row r="62" spans="25:25" x14ac:dyDescent="0.2">
      <c r="Y62" s="10"/>
    </row>
    <row r="63" spans="25:25" x14ac:dyDescent="0.2">
      <c r="Y63" s="10"/>
    </row>
    <row r="64" spans="25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</sheetData>
  <sheetProtection algorithmName="SHA-512" hashValue="vG5JK9+tvU4HnR3bUa4/onRIiPNoxwMBVhWU09q1TZ6HxK16ZNhCPnTH2pIWOCWaBMizEioQhzgtibAZNk7W/g==" saltValue="6ZCrLlRyA99506DKfuPlzQ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dataValidations count="15">
    <dataValidation type="whole" allowBlank="1" showInputMessage="1" showErrorMessage="1" error="Enter a Leave Type number between 1 and 11" sqref="M15 M27 M21" xr:uid="{00000000-0002-0000-0300-000000000000}">
      <formula1>1</formula1>
      <formula2>11</formula2>
    </dataValidation>
    <dataValidation type="time" allowBlank="1" showInputMessage="1" showErrorMessage="1" error="Enter the time in 24 hour format, such as 14:00 for 2:00PM" sqref="C28:D32 F10:G14 C22:D26 F28:G32 C10:D20 F22:G26 F16:G20" xr:uid="{00000000-0002-0000-03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10:O14 O28:O32 O22:O26" xr:uid="{00000000-0002-0000-03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 N10" xr:uid="{00000000-0002-0000-03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3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" xr:uid="{00000000-0002-0000-03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 N25" xr:uid="{00000000-0002-0000-03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4 N26" xr:uid="{00000000-0002-0000-03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22:M26 M28:M32 M17:M20 M10:M14" xr:uid="{00000000-0002-0000-03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 N32" xr:uid="{00000000-0002-0000-0300-000009000000}">
      <formula1>0</formula1>
      <formula2>fri_hrs2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31" xr:uid="{00000000-0002-0000-0300-00000A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3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7 N29" xr:uid="{00000000-0002-0000-0300-00000C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28" xr:uid="{00000000-0002-0000-0300-00000D000000}">
      <formula1>0</formula1>
      <formula2>mon_hrs2</formula2>
    </dataValidation>
    <dataValidation type="whole" allowBlank="1" showInputMessage="1" showErrorMessage="1" sqref="M16" xr:uid="{309C2507-BE6D-4874-8B02-81CD27485D5D}">
      <formula1>1</formula1>
      <formula2>13</formula2>
    </dataValidation>
  </dataValidations>
  <pageMargins left="0.27559055118110237" right="0.27559055118110237" top="0.47244094488188981" bottom="0.47244094488188981" header="0.51181102362204722" footer="0.51181102362204722"/>
  <pageSetup paperSize="9" scale="97" orientation="landscape" blackAndWhite="1" r:id="rId1"/>
  <headerFooter alignWithMargins="0"/>
  <ignoredErrors>
    <ignoredError sqref="E10 E16:G16 E11:E14 E19:E22 E17 E29:E32 E28 E26:E27 E23 E24 E18 E25 C11:D15 F11:G15 C17:D32 F17:G32 C16:D16" unlockedFormula="1"/>
    <ignoredError sqref="U19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ErrorMessage="1" error="Enter a whole number between 0 and your usual number of working hours for this day of the week. This is defined in the &quot;setup&quot; sheet. For full-time staff this is 7 hours." xr:uid="{00000000-0002-0000-0300-00000E000000}">
          <x14:formula1>
            <xm:f>0</xm:f>
          </x14:formula1>
          <x14:formula2>
            <xm:f>setup!F15</xm:f>
          </x14:formula2>
          <xm:sqref>N24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F73"/>
  <sheetViews>
    <sheetView workbookViewId="0">
      <selection activeCell="AF16" sqref="AF16"/>
    </sheetView>
  </sheetViews>
  <sheetFormatPr defaultColWidth="8.85546875" defaultRowHeight="12.75" x14ac:dyDescent="0.2"/>
  <cols>
    <col min="1" max="1" width="12.140625" style="1" customWidth="1"/>
    <col min="2" max="2" width="11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9.140625" hidden="1" customWidth="1"/>
    <col min="20" max="20" width="6.140625" style="2" customWidth="1"/>
    <col min="21" max="23" width="4.140625" style="1" customWidth="1"/>
    <col min="24" max="24" width="5.5703125" style="1" customWidth="1"/>
    <col min="25" max="25" width="6.42578125" style="35" hidden="1" customWidth="1"/>
    <col min="26" max="27" width="5.28515625" style="1" customWidth="1"/>
    <col min="28" max="28" width="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33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3+sheet_end_date_p02</f>
        <v>46055</v>
      </c>
      <c r="V3" s="38"/>
      <c r="W3" s="39"/>
      <c r="X3" s="108" t="s">
        <v>106</v>
      </c>
      <c r="Y3" s="40"/>
      <c r="Z3" s="130">
        <f>A32</f>
        <v>46080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1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"/>
      <c r="B8" s="20"/>
      <c r="C8" s="117" t="s">
        <v>7</v>
      </c>
      <c r="D8" s="118"/>
      <c r="E8" s="118"/>
      <c r="F8" s="119" t="s">
        <v>8</v>
      </c>
      <c r="G8" s="118"/>
      <c r="H8" s="21"/>
      <c r="I8" s="46" t="s">
        <v>59</v>
      </c>
      <c r="J8" s="21"/>
      <c r="K8" s="13"/>
      <c r="L8" s="22"/>
      <c r="M8" s="47" t="s">
        <v>9</v>
      </c>
      <c r="N8" s="48"/>
      <c r="O8" s="48"/>
      <c r="P8" s="52"/>
      <c r="Q8" s="15"/>
      <c r="R8" s="15"/>
      <c r="S8" s="15"/>
      <c r="T8" s="149"/>
      <c r="U8" s="125" t="s">
        <v>60</v>
      </c>
      <c r="V8" s="126"/>
      <c r="W8" s="116" t="s">
        <v>61</v>
      </c>
      <c r="X8" s="125"/>
      <c r="Y8" s="52" t="s">
        <v>10</v>
      </c>
      <c r="Z8" s="124" t="s">
        <v>11</v>
      </c>
      <c r="AA8" s="23"/>
      <c r="AB8" s="24"/>
    </row>
    <row r="9" spans="1:29" s="17" customFormat="1" ht="21.75" customHeight="1" x14ac:dyDescent="0.2">
      <c r="A9" s="121" t="s">
        <v>12</v>
      </c>
      <c r="B9" s="121" t="s">
        <v>13</v>
      </c>
      <c r="C9" s="121" t="s">
        <v>14</v>
      </c>
      <c r="D9" s="121" t="s">
        <v>15</v>
      </c>
      <c r="E9" s="121" t="s">
        <v>105</v>
      </c>
      <c r="F9" s="121" t="s">
        <v>14</v>
      </c>
      <c r="G9" s="121" t="s">
        <v>15</v>
      </c>
      <c r="H9" s="121" t="s">
        <v>105</v>
      </c>
      <c r="I9" s="121" t="s">
        <v>17</v>
      </c>
      <c r="J9" s="121" t="s">
        <v>18</v>
      </c>
      <c r="K9" s="121" t="s">
        <v>19</v>
      </c>
      <c r="L9" s="121" t="s">
        <v>129</v>
      </c>
      <c r="M9" s="121" t="s">
        <v>71</v>
      </c>
      <c r="N9" s="121" t="s">
        <v>20</v>
      </c>
      <c r="O9" s="121" t="s">
        <v>22</v>
      </c>
      <c r="P9" s="121" t="s">
        <v>62</v>
      </c>
      <c r="Q9" s="121" t="s">
        <v>63</v>
      </c>
      <c r="R9" s="121" t="s">
        <v>64</v>
      </c>
      <c r="S9" s="121" t="s">
        <v>65</v>
      </c>
      <c r="T9" s="121" t="s">
        <v>21</v>
      </c>
      <c r="U9" s="121" t="s">
        <v>17</v>
      </c>
      <c r="V9" s="121" t="s">
        <v>18</v>
      </c>
      <c r="W9" s="121" t="s">
        <v>17</v>
      </c>
      <c r="X9" s="121" t="s">
        <v>18</v>
      </c>
      <c r="Y9" s="121"/>
      <c r="Z9" s="121" t="s">
        <v>20</v>
      </c>
      <c r="AA9" s="121" t="s">
        <v>22</v>
      </c>
      <c r="AB9" s="122" t="s">
        <v>23</v>
      </c>
    </row>
    <row r="10" spans="1:29" s="89" customFormat="1" x14ac:dyDescent="0.2">
      <c r="A10" s="68">
        <f>U3</f>
        <v>46055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67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46056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46057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46058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46059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100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102"/>
      <c r="D15" s="102"/>
      <c r="E15" s="102"/>
      <c r="F15" s="102"/>
      <c r="G15" s="102"/>
      <c r="H15" s="71"/>
      <c r="I15" s="72"/>
      <c r="J15" s="73"/>
      <c r="K15" s="92"/>
      <c r="L15" s="143"/>
      <c r="M15" s="144"/>
      <c r="N15" s="145"/>
      <c r="O15" s="146"/>
      <c r="P15" s="93"/>
      <c r="Q15" s="79"/>
      <c r="R15" s="80"/>
      <c r="S15" s="81"/>
      <c r="T15" s="94"/>
      <c r="U15" s="83"/>
      <c r="V15" s="83"/>
      <c r="W15" s="83"/>
      <c r="X15" s="83"/>
      <c r="Y15" s="131"/>
      <c r="Z15" s="95"/>
      <c r="AA15" s="96"/>
      <c r="AB15" s="94"/>
    </row>
    <row r="16" spans="1:29" s="89" customFormat="1" x14ac:dyDescent="0.2">
      <c r="A16" s="68">
        <f>A14+3</f>
        <v>46062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>D16-C16</f>
        <v>0.14583333333333337</v>
      </c>
      <c r="F16" s="70">
        <f>end_lunch</f>
        <v>0.5625</v>
      </c>
      <c r="G16" s="70">
        <f>end_time</f>
        <v>0.70833333333333337</v>
      </c>
      <c r="H16" s="71">
        <f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67"/>
      <c r="M16" s="75"/>
      <c r="N16" s="76"/>
      <c r="O16" s="77"/>
      <c r="P16" s="78">
        <f>IF(ISNA(MATCH($M16,{2,3,4,5,6,7,10},0)),0,$Q16)</f>
        <v>0</v>
      </c>
      <c r="Q16" s="79">
        <f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46063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>(N17*60)+O17</f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46064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46065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46066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100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90"/>
      <c r="B21" s="91"/>
      <c r="C21" s="102"/>
      <c r="D21" s="102"/>
      <c r="E21" s="102"/>
      <c r="F21" s="102"/>
      <c r="G21" s="102"/>
      <c r="H21" s="71"/>
      <c r="I21" s="72"/>
      <c r="J21" s="73"/>
      <c r="K21" s="92"/>
      <c r="L21" s="144"/>
      <c r="M21" s="144"/>
      <c r="N21" s="145"/>
      <c r="O21" s="146"/>
      <c r="P21" s="93"/>
      <c r="Q21" s="97"/>
      <c r="R21" s="97"/>
      <c r="S21" s="93"/>
      <c r="T21" s="94"/>
      <c r="U21" s="98"/>
      <c r="V21" s="99"/>
      <c r="W21" s="98"/>
      <c r="X21" s="98"/>
      <c r="Y21" s="131"/>
      <c r="Z21" s="95"/>
      <c r="AA21" s="96"/>
      <c r="AB21" s="94"/>
    </row>
    <row r="22" spans="1:28" s="89" customFormat="1" x14ac:dyDescent="0.2">
      <c r="A22" s="68">
        <f>A20+3</f>
        <v>46069</v>
      </c>
      <c r="B22" s="69" t="s">
        <v>24</v>
      </c>
      <c r="C22" s="70">
        <f>start_time</f>
        <v>0.375</v>
      </c>
      <c r="D22" s="70">
        <f>start_lunch</f>
        <v>0.52083333333333337</v>
      </c>
      <c r="E22" s="102">
        <f>D22-C22</f>
        <v>0.14583333333333337</v>
      </c>
      <c r="F22" s="70">
        <f>end_lunch</f>
        <v>0.5625</v>
      </c>
      <c r="G22" s="70">
        <f>end_time</f>
        <v>0.70833333333333337</v>
      </c>
      <c r="H22" s="71">
        <f>(G22-F22)</f>
        <v>0.14583333333333337</v>
      </c>
      <c r="I22" s="72">
        <f>HOUR(E22+H22)</f>
        <v>7</v>
      </c>
      <c r="J22" s="73">
        <f>MINUTE(E22+H22)</f>
        <v>0</v>
      </c>
      <c r="K22" s="74">
        <f>I22*60+J22</f>
        <v>420</v>
      </c>
      <c r="L22" s="67"/>
      <c r="M22" s="75"/>
      <c r="N22" s="76"/>
      <c r="O22" s="77"/>
      <c r="P22" s="78">
        <f>IF(ISNA(MATCH($M22,{2,3,4,5,6,7,10},0)),0,$Q22)</f>
        <v>0</v>
      </c>
      <c r="Q22" s="79">
        <f>(N22*60)+O22</f>
        <v>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46070</v>
      </c>
      <c r="B23" s="69" t="s">
        <v>25</v>
      </c>
      <c r="C23" s="70">
        <f>start_time</f>
        <v>0.375</v>
      </c>
      <c r="D23" s="70">
        <f>start_lunch</f>
        <v>0.52083333333333337</v>
      </c>
      <c r="E23" s="102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67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46071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6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46072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6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46073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L26" s="67"/>
      <c r="M26" s="75"/>
      <c r="N26" s="76"/>
      <c r="O26" s="77"/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90"/>
      <c r="B27" s="91"/>
      <c r="C27" s="102"/>
      <c r="D27" s="102"/>
      <c r="E27" s="102"/>
      <c r="F27" s="102"/>
      <c r="G27" s="102"/>
      <c r="H27" s="71"/>
      <c r="I27" s="72"/>
      <c r="J27" s="73"/>
      <c r="K27" s="92"/>
      <c r="L27" s="143"/>
      <c r="M27" s="144"/>
      <c r="N27" s="145"/>
      <c r="O27" s="148"/>
      <c r="P27" s="93"/>
      <c r="Q27" s="97"/>
      <c r="R27" s="97"/>
      <c r="S27" s="101"/>
      <c r="T27" s="94"/>
      <c r="U27" s="98"/>
      <c r="V27" s="99"/>
      <c r="W27" s="98"/>
      <c r="X27" s="98"/>
      <c r="Y27" s="131"/>
      <c r="Z27" s="95"/>
      <c r="AA27" s="96"/>
      <c r="AB27" s="94"/>
    </row>
    <row r="28" spans="1:28" s="89" customFormat="1" x14ac:dyDescent="0.2">
      <c r="A28" s="68">
        <f>A26+3</f>
        <v>46076</v>
      </c>
      <c r="B28" s="69" t="s">
        <v>24</v>
      </c>
      <c r="C28" s="70">
        <f>start_time</f>
        <v>0.375</v>
      </c>
      <c r="D28" s="70">
        <f>start_lunch</f>
        <v>0.52083333333333337</v>
      </c>
      <c r="E28" s="102">
        <f>D28-C28</f>
        <v>0.14583333333333337</v>
      </c>
      <c r="F28" s="70">
        <f>end_lunch</f>
        <v>0.5625</v>
      </c>
      <c r="G28" s="70">
        <f>end_time</f>
        <v>0.70833333333333337</v>
      </c>
      <c r="H28" s="71">
        <f>(G28-F28)</f>
        <v>0.14583333333333337</v>
      </c>
      <c r="I28" s="72">
        <f>HOUR(E28+H28)</f>
        <v>7</v>
      </c>
      <c r="J28" s="73">
        <f>MINUTE(E28+H28)</f>
        <v>0</v>
      </c>
      <c r="K28" s="74">
        <f>I28*60+J28</f>
        <v>420</v>
      </c>
      <c r="L28" s="67"/>
      <c r="M28" s="75"/>
      <c r="N28" s="76"/>
      <c r="O28" s="77"/>
      <c r="P28" s="78">
        <f>IF(ISNA(MATCH($M28,{2,3,4,5,6,7,10},0)),0,$Q28)</f>
        <v>0</v>
      </c>
      <c r="Q28" s="79">
        <f>(N28*60)+O28</f>
        <v>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2">INT(ABS(Y28/60))</f>
        <v>0</v>
      </c>
      <c r="AA28" s="86">
        <f t="shared" ref="AA28:AA33" si="3">MOD(ABS(Y28),60)</f>
        <v>0</v>
      </c>
      <c r="AB28" s="87" t="str">
        <f t="shared" ref="AB28:AB33" si="4">IF(Y28 &lt;0,"DB","CR")</f>
        <v>CR</v>
      </c>
    </row>
    <row r="29" spans="1:28" s="89" customFormat="1" x14ac:dyDescent="0.2">
      <c r="A29" s="68">
        <f>A28+1</f>
        <v>46077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6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2"/>
        <v>0</v>
      </c>
      <c r="AA29" s="86">
        <f t="shared" si="3"/>
        <v>0</v>
      </c>
      <c r="AB29" s="87" t="str">
        <f t="shared" si="4"/>
        <v>CR</v>
      </c>
    </row>
    <row r="30" spans="1:28" s="89" customFormat="1" x14ac:dyDescent="0.2">
      <c r="A30" s="68">
        <f>A29+1</f>
        <v>46078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2"/>
        <v>0</v>
      </c>
      <c r="AA30" s="86">
        <f t="shared" si="3"/>
        <v>0</v>
      </c>
      <c r="AB30" s="87" t="str">
        <f t="shared" si="4"/>
        <v>CR</v>
      </c>
    </row>
    <row r="31" spans="1:28" s="89" customFormat="1" x14ac:dyDescent="0.2">
      <c r="A31" s="68">
        <f>A30+1</f>
        <v>46079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67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2"/>
        <v>0</v>
      </c>
      <c r="AA31" s="86">
        <f t="shared" si="3"/>
        <v>0</v>
      </c>
      <c r="AB31" s="87" t="str">
        <f t="shared" si="4"/>
        <v>CR</v>
      </c>
    </row>
    <row r="32" spans="1:28" s="89" customFormat="1" x14ac:dyDescent="0.2">
      <c r="A32" s="68">
        <f>A31+1</f>
        <v>46080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82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2"/>
        <v>0</v>
      </c>
      <c r="AA32" s="86">
        <f t="shared" si="3"/>
        <v>0</v>
      </c>
      <c r="AB32" s="87" t="str">
        <f t="shared" si="4"/>
        <v>CR</v>
      </c>
    </row>
    <row r="33" spans="1:32" ht="15.75" x14ac:dyDescent="0.25">
      <c r="H33" s="104" t="s">
        <v>66</v>
      </c>
      <c r="I33" s="139">
        <f>SUM(I10:I32)+INT(SUM(J10:J32)/60)</f>
        <v>140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0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2"/>
        <v>0</v>
      </c>
      <c r="AA33" s="135">
        <f t="shared" si="3"/>
        <v>0</v>
      </c>
      <c r="AB33" s="138" t="str">
        <f t="shared" si="4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26"/>
      <c r="I34" s="27"/>
      <c r="J34" s="17"/>
      <c r="K34" s="17"/>
      <c r="L34" s="29"/>
      <c r="M34" s="106" t="s">
        <v>104</v>
      </c>
      <c r="N34" s="85">
        <f>INT(ABS(SUM(P10:P32)/60))</f>
        <v>0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12:25" x14ac:dyDescent="0.2">
      <c r="Y49" s="10"/>
    </row>
    <row r="50" spans="12:25" x14ac:dyDescent="0.2">
      <c r="Y50" s="10"/>
    </row>
    <row r="51" spans="12:25" x14ac:dyDescent="0.2">
      <c r="Y51" s="10"/>
    </row>
    <row r="52" spans="12:25" x14ac:dyDescent="0.2">
      <c r="Y52" s="10"/>
    </row>
    <row r="53" spans="12:25" x14ac:dyDescent="0.2">
      <c r="L53" s="51"/>
      <c r="M53" s="60"/>
      <c r="N53" s="61"/>
      <c r="Y53" s="10"/>
    </row>
    <row r="54" spans="12:25" x14ac:dyDescent="0.2">
      <c r="Y54" s="10"/>
    </row>
    <row r="55" spans="12:25" x14ac:dyDescent="0.2">
      <c r="Y55" s="10"/>
    </row>
    <row r="56" spans="12:25" x14ac:dyDescent="0.2">
      <c r="Y56" s="10"/>
    </row>
    <row r="57" spans="12:25" x14ac:dyDescent="0.2">
      <c r="Y57" s="10"/>
    </row>
    <row r="58" spans="12:25" x14ac:dyDescent="0.2">
      <c r="Y58" s="10"/>
    </row>
    <row r="59" spans="12:25" x14ac:dyDescent="0.2">
      <c r="Y59" s="10"/>
    </row>
    <row r="60" spans="12:25" x14ac:dyDescent="0.2">
      <c r="Y60" s="10"/>
    </row>
    <row r="61" spans="12:25" x14ac:dyDescent="0.2">
      <c r="Y61" s="10"/>
    </row>
    <row r="62" spans="12:25" x14ac:dyDescent="0.2">
      <c r="Y62" s="10"/>
    </row>
    <row r="63" spans="12:25" x14ac:dyDescent="0.2">
      <c r="Y63" s="10"/>
    </row>
    <row r="64" spans="12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  <row r="73" spans="25:25" x14ac:dyDescent="0.2">
      <c r="Y73" s="10"/>
    </row>
  </sheetData>
  <sheetProtection algorithmName="SHA-512" hashValue="NPkPmvbpbxk4KNm+L7vzFe9AW/D/QBb56O5MRPtM0HKm72nIi5f1CUsEOrxtoksKwxlNfs/2VwZz8WTp5JO4oA==" saltValue="aTHex3WtBpQFNsnzTfcQ2g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conditionalFormatting sqref="L53">
    <cfRule type="cellIs" dxfId="0" priority="1" stopIfTrue="1" operator="equal">
      <formula>"alert"</formula>
    </cfRule>
  </conditionalFormatting>
  <dataValidations count="14">
    <dataValidation type="whole" allowBlank="1" showInputMessage="1" showErrorMessage="1" error="Enter a Leave Type number between 1 and 11" sqref="M15 M21 M27" xr:uid="{00000000-0002-0000-0400-000000000000}">
      <formula1>1</formula1>
      <formula2>11</formula2>
    </dataValidation>
    <dataValidation type="time" allowBlank="1" showInputMessage="1" showErrorMessage="1" error="Enter the time in 24 hour format, such as 14:00 for 2:00PM" sqref="C10:D14 F10:G14 F22:G26 C22:D26 C28:D32 F16:G20 C16:D20 F28:G32" xr:uid="{00000000-0002-0000-04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22:O26 O28:O32 O10:O14" xr:uid="{00000000-0002-0000-04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 N10" xr:uid="{00000000-0002-0000-04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4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24" xr:uid="{00000000-0002-0000-04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 N25" xr:uid="{00000000-0002-0000-04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4 N26" xr:uid="{00000000-0002-0000-04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10:M14 M16:M20 M22:M26 M28:M32" xr:uid="{00000000-0002-0000-04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6 N28" xr:uid="{00000000-0002-0000-04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7 N29" xr:uid="{00000000-0002-0000-04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4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31" xr:uid="{00000000-0002-0000-0400-00000C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 N32" xr:uid="{00000000-0002-0000-0400-00000D000000}">
      <formula1>0</formula1>
      <formula2>fri_hrs2</formula2>
    </dataValidation>
  </dataValidations>
  <pageMargins left="0.27559055118110237" right="0.27559055118110237" top="0.47244094488188976" bottom="0.47244094488188976" header="0.51181102362204722" footer="0.51181102362204722"/>
  <pageSetup paperSize="9" scale="97" orientation="landscape" blackAndWhite="1" r:id="rId1"/>
  <headerFooter alignWithMargins="0"/>
  <ignoredErrors>
    <ignoredError sqref="C10:G32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F72"/>
  <sheetViews>
    <sheetView zoomScaleNormal="75" workbookViewId="0">
      <selection activeCell="AH16" sqref="AH16"/>
    </sheetView>
  </sheetViews>
  <sheetFormatPr defaultColWidth="8.85546875" defaultRowHeight="12.75" x14ac:dyDescent="0.2"/>
  <cols>
    <col min="1" max="1" width="12.140625" style="1" customWidth="1"/>
    <col min="2" max="2" width="10.5703125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9.140625" hidden="1" customWidth="1"/>
    <col min="20" max="20" width="6.140625" style="2" customWidth="1"/>
    <col min="21" max="23" width="4.140625" style="1" customWidth="1"/>
    <col min="24" max="24" width="5.5703125" style="1" customWidth="1"/>
    <col min="25" max="25" width="6.42578125" style="35" hidden="1" customWidth="1"/>
    <col min="26" max="27" width="5.28515625" style="1" customWidth="1"/>
    <col min="28" max="28" width="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09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3+sheet_end_date_p03</f>
        <v>46083</v>
      </c>
      <c r="V3" s="38"/>
      <c r="W3" s="39"/>
      <c r="X3" s="108" t="s">
        <v>106</v>
      </c>
      <c r="Y3" s="40"/>
      <c r="Z3" s="130">
        <f>A32</f>
        <v>46108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1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"/>
      <c r="B8" s="20"/>
      <c r="C8" s="117" t="s">
        <v>7</v>
      </c>
      <c r="D8" s="118"/>
      <c r="E8" s="118"/>
      <c r="F8" s="119" t="s">
        <v>8</v>
      </c>
      <c r="G8" s="118"/>
      <c r="H8" s="21"/>
      <c r="I8" s="46" t="s">
        <v>59</v>
      </c>
      <c r="J8" s="21"/>
      <c r="K8" s="13"/>
      <c r="L8" s="22"/>
      <c r="M8" s="47" t="s">
        <v>9</v>
      </c>
      <c r="N8" s="48"/>
      <c r="O8" s="48"/>
      <c r="P8" s="52"/>
      <c r="Q8"/>
      <c r="R8"/>
      <c r="T8" s="149"/>
      <c r="U8" s="125" t="s">
        <v>60</v>
      </c>
      <c r="V8" s="126"/>
      <c r="W8" s="116" t="s">
        <v>61</v>
      </c>
      <c r="X8" s="125"/>
      <c r="Y8" s="52" t="s">
        <v>10</v>
      </c>
      <c r="Z8" s="124" t="s">
        <v>11</v>
      </c>
      <c r="AA8" s="23"/>
      <c r="AB8" s="24"/>
    </row>
    <row r="9" spans="1:29" s="17" customFormat="1" ht="21.75" customHeight="1" x14ac:dyDescent="0.2">
      <c r="A9" s="121" t="s">
        <v>12</v>
      </c>
      <c r="B9" s="121" t="s">
        <v>13</v>
      </c>
      <c r="C9" s="121" t="s">
        <v>14</v>
      </c>
      <c r="D9" s="121" t="s">
        <v>15</v>
      </c>
      <c r="E9" s="121" t="s">
        <v>105</v>
      </c>
      <c r="F9" s="121" t="s">
        <v>14</v>
      </c>
      <c r="G9" s="121" t="s">
        <v>15</v>
      </c>
      <c r="H9" s="121" t="s">
        <v>105</v>
      </c>
      <c r="I9" s="121" t="s">
        <v>17</v>
      </c>
      <c r="J9" s="121" t="s">
        <v>18</v>
      </c>
      <c r="K9" s="121" t="s">
        <v>19</v>
      </c>
      <c r="L9" s="121" t="s">
        <v>129</v>
      </c>
      <c r="M9" s="121" t="s">
        <v>71</v>
      </c>
      <c r="N9" s="121" t="s">
        <v>20</v>
      </c>
      <c r="O9" s="121" t="s">
        <v>22</v>
      </c>
      <c r="P9" s="121" t="s">
        <v>62</v>
      </c>
      <c r="Q9" s="121" t="s">
        <v>63</v>
      </c>
      <c r="R9" s="121" t="s">
        <v>64</v>
      </c>
      <c r="S9" s="121" t="s">
        <v>65</v>
      </c>
      <c r="T9" s="121" t="s">
        <v>21</v>
      </c>
      <c r="U9" s="121" t="s">
        <v>17</v>
      </c>
      <c r="V9" s="121" t="s">
        <v>18</v>
      </c>
      <c r="W9" s="121" t="s">
        <v>17</v>
      </c>
      <c r="X9" s="121" t="s">
        <v>18</v>
      </c>
      <c r="Y9" s="121"/>
      <c r="Z9" s="121" t="s">
        <v>20</v>
      </c>
      <c r="AA9" s="121" t="s">
        <v>22</v>
      </c>
      <c r="AB9" s="122" t="s">
        <v>23</v>
      </c>
    </row>
    <row r="10" spans="1:29" s="89" customFormat="1" x14ac:dyDescent="0.2">
      <c r="A10" s="68">
        <f>U3</f>
        <v>46083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67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46084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46085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46086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46087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100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102"/>
      <c r="D15" s="102"/>
      <c r="E15" s="102"/>
      <c r="F15" s="102"/>
      <c r="G15" s="102"/>
      <c r="H15" s="71"/>
      <c r="I15" s="72"/>
      <c r="J15" s="73"/>
      <c r="K15" s="92"/>
      <c r="L15" s="143"/>
      <c r="M15" s="144"/>
      <c r="N15" s="145"/>
      <c r="O15" s="146"/>
      <c r="P15" s="93"/>
      <c r="Q15" s="79"/>
      <c r="R15" s="80"/>
      <c r="S15" s="81"/>
      <c r="T15" s="94"/>
      <c r="U15" s="83"/>
      <c r="V15" s="83"/>
      <c r="W15" s="83"/>
      <c r="X15" s="83"/>
      <c r="Y15" s="131"/>
      <c r="Z15" s="95"/>
      <c r="AA15" s="96"/>
      <c r="AB15" s="94"/>
    </row>
    <row r="16" spans="1:29" s="89" customFormat="1" x14ac:dyDescent="0.2">
      <c r="A16" s="68">
        <f>A14+3</f>
        <v>46090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>D16-C16</f>
        <v>0.14583333333333337</v>
      </c>
      <c r="F16" s="70">
        <f>end_lunch</f>
        <v>0.5625</v>
      </c>
      <c r="G16" s="70">
        <f>end_time</f>
        <v>0.70833333333333337</v>
      </c>
      <c r="H16" s="71">
        <f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67"/>
      <c r="M16" s="75"/>
      <c r="N16" s="76"/>
      <c r="O16" s="77"/>
      <c r="P16" s="78">
        <f>IF(ISNA(MATCH($M16,{2,3,4,5,6,7,10},0)),0,$Q16)</f>
        <v>0</v>
      </c>
      <c r="Q16" s="79">
        <f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46091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>(N17*60)+O17</f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46092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46093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46094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132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90"/>
      <c r="B21" s="91"/>
      <c r="C21" s="102"/>
      <c r="D21" s="102"/>
      <c r="E21" s="102"/>
      <c r="F21" s="102"/>
      <c r="G21" s="102"/>
      <c r="H21" s="71"/>
      <c r="I21" s="72"/>
      <c r="J21" s="73"/>
      <c r="K21" s="92"/>
      <c r="L21" s="143"/>
      <c r="M21" s="144"/>
      <c r="N21" s="145"/>
      <c r="O21" s="146"/>
      <c r="P21" s="93"/>
      <c r="Q21" s="97"/>
      <c r="R21" s="97"/>
      <c r="S21" s="93"/>
      <c r="T21" s="94"/>
      <c r="U21" s="98"/>
      <c r="V21" s="99"/>
      <c r="W21" s="98"/>
      <c r="X21" s="98"/>
      <c r="Y21" s="131"/>
      <c r="Z21" s="95"/>
      <c r="AA21" s="96"/>
      <c r="AB21" s="94"/>
    </row>
    <row r="22" spans="1:28" s="89" customFormat="1" x14ac:dyDescent="0.2">
      <c r="A22" s="68">
        <f>A20+3</f>
        <v>46097</v>
      </c>
      <c r="B22" s="69" t="s">
        <v>24</v>
      </c>
      <c r="C22" s="70">
        <f>start_time</f>
        <v>0.375</v>
      </c>
      <c r="D22" s="70">
        <f>start_lunch</f>
        <v>0.52083333333333337</v>
      </c>
      <c r="E22" s="102">
        <f>D22-C22</f>
        <v>0.14583333333333337</v>
      </c>
      <c r="F22" s="70">
        <f>end_lunch</f>
        <v>0.5625</v>
      </c>
      <c r="G22" s="70">
        <f>end_time</f>
        <v>0.70833333333333337</v>
      </c>
      <c r="H22" s="71">
        <f>(G22-F22)</f>
        <v>0.14583333333333337</v>
      </c>
      <c r="I22" s="72">
        <f>HOUR(E22+H22)</f>
        <v>7</v>
      </c>
      <c r="J22" s="73">
        <f>MINUTE(E22+H22)</f>
        <v>0</v>
      </c>
      <c r="K22" s="74">
        <f>I22*60+J22</f>
        <v>420</v>
      </c>
      <c r="L22" s="67"/>
      <c r="M22" s="75"/>
      <c r="N22" s="76"/>
      <c r="O22" s="77"/>
      <c r="P22" s="78">
        <f>IF(ISNA(MATCH($M22,{2,3,4,5,6,7,10},0)),0,$Q22)</f>
        <v>0</v>
      </c>
      <c r="Q22" s="79">
        <f>(N22*60)+O22</f>
        <v>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46098</v>
      </c>
      <c r="B23" s="69" t="s">
        <v>25</v>
      </c>
      <c r="C23" s="70">
        <f>start_time</f>
        <v>0.375</v>
      </c>
      <c r="D23" s="70">
        <f>start_lunch</f>
        <v>0.52083333333333337</v>
      </c>
      <c r="E23" s="102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67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46099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6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46100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6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46101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L26" s="142"/>
      <c r="M26" s="75"/>
      <c r="N26" s="76"/>
      <c r="O26" s="77">
        <v>0</v>
      </c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90"/>
      <c r="B27" s="91"/>
      <c r="C27" s="102"/>
      <c r="D27" s="102"/>
      <c r="E27" s="102"/>
      <c r="F27" s="102"/>
      <c r="G27" s="102"/>
      <c r="H27" s="71"/>
      <c r="I27" s="72"/>
      <c r="J27" s="73"/>
      <c r="K27" s="92"/>
      <c r="L27" s="67"/>
      <c r="M27" s="144"/>
      <c r="N27" s="145"/>
      <c r="O27" s="148"/>
      <c r="P27" s="93"/>
      <c r="Q27" s="97"/>
      <c r="R27" s="97"/>
      <c r="S27" s="101"/>
      <c r="T27" s="94"/>
      <c r="U27" s="98"/>
      <c r="V27" s="99"/>
      <c r="W27" s="98"/>
      <c r="X27" s="98"/>
      <c r="Y27" s="131"/>
      <c r="Z27" s="95"/>
      <c r="AA27" s="96"/>
      <c r="AB27" s="94"/>
    </row>
    <row r="28" spans="1:28" s="89" customFormat="1" x14ac:dyDescent="0.2">
      <c r="A28" s="68">
        <f>A26+3</f>
        <v>46104</v>
      </c>
      <c r="B28" s="69" t="s">
        <v>24</v>
      </c>
      <c r="C28" s="70">
        <f>start_time</f>
        <v>0.375</v>
      </c>
      <c r="D28" s="70">
        <f>start_lunch</f>
        <v>0.52083333333333337</v>
      </c>
      <c r="E28" s="102">
        <f>D28-C28</f>
        <v>0.14583333333333337</v>
      </c>
      <c r="F28" s="70">
        <f>end_lunch</f>
        <v>0.5625</v>
      </c>
      <c r="G28" s="70">
        <f>end_time</f>
        <v>0.70833333333333337</v>
      </c>
      <c r="H28" s="71">
        <f>(G28-F28)</f>
        <v>0.14583333333333337</v>
      </c>
      <c r="I28" s="72">
        <f>HOUR(E28+H28)</f>
        <v>7</v>
      </c>
      <c r="J28" s="73">
        <f>MINUTE(E28+H28)</f>
        <v>0</v>
      </c>
      <c r="K28" s="74">
        <f>I28*60+J28</f>
        <v>420</v>
      </c>
      <c r="L28" s="147"/>
      <c r="M28" s="75"/>
      <c r="N28" s="76"/>
      <c r="O28" s="77"/>
      <c r="P28" s="78">
        <f>IF(ISNA(MATCH($M28,{2,3,4,5,6,7,10},0)),0,$Q28)</f>
        <v>0</v>
      </c>
      <c r="Q28" s="79">
        <f>(N28*60)+O28</f>
        <v>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2">INT(ABS(Y28/60))</f>
        <v>0</v>
      </c>
      <c r="AA28" s="86">
        <f t="shared" ref="AA28:AA33" si="3">MOD(ABS(Y28),60)</f>
        <v>0</v>
      </c>
      <c r="AB28" s="87" t="str">
        <f t="shared" ref="AB28:AB33" si="4">IF(Y28 &lt;0,"DB","CR")</f>
        <v>CR</v>
      </c>
    </row>
    <row r="29" spans="1:28" s="89" customFormat="1" x14ac:dyDescent="0.2">
      <c r="A29" s="68">
        <f>A28+1</f>
        <v>46105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14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2"/>
        <v>0</v>
      </c>
      <c r="AA29" s="86">
        <f t="shared" si="3"/>
        <v>0</v>
      </c>
      <c r="AB29" s="87" t="str">
        <f t="shared" si="4"/>
        <v>CR</v>
      </c>
    </row>
    <row r="30" spans="1:28" s="89" customFormat="1" x14ac:dyDescent="0.2">
      <c r="A30" s="68">
        <f>A29+1</f>
        <v>46106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2"/>
        <v>0</v>
      </c>
      <c r="AA30" s="86">
        <f t="shared" si="3"/>
        <v>0</v>
      </c>
      <c r="AB30" s="87" t="str">
        <f t="shared" si="4"/>
        <v>CR</v>
      </c>
    </row>
    <row r="31" spans="1:28" s="89" customFormat="1" x14ac:dyDescent="0.2">
      <c r="A31" s="68">
        <f>A30+1</f>
        <v>46107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67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2"/>
        <v>0</v>
      </c>
      <c r="AA31" s="86">
        <f t="shared" si="3"/>
        <v>0</v>
      </c>
      <c r="AB31" s="87" t="str">
        <f t="shared" si="4"/>
        <v>CR</v>
      </c>
    </row>
    <row r="32" spans="1:28" s="89" customFormat="1" x14ac:dyDescent="0.2">
      <c r="A32" s="68">
        <f>A31+1</f>
        <v>46108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67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2"/>
        <v>0</v>
      </c>
      <c r="AA32" s="86">
        <f t="shared" si="3"/>
        <v>0</v>
      </c>
      <c r="AB32" s="87" t="str">
        <f t="shared" si="4"/>
        <v>CR</v>
      </c>
    </row>
    <row r="33" spans="1:32" ht="15.75" x14ac:dyDescent="0.25">
      <c r="H33" s="104" t="s">
        <v>66</v>
      </c>
      <c r="I33" s="139">
        <f>SUM(I10:I32)+INT(SUM(J10:J32)/60)</f>
        <v>140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0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2"/>
        <v>0</v>
      </c>
      <c r="AA33" s="135">
        <f t="shared" si="3"/>
        <v>0</v>
      </c>
      <c r="AB33" s="138" t="str">
        <f t="shared" si="4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26"/>
      <c r="I34" s="27"/>
      <c r="J34" s="17"/>
      <c r="K34" s="17"/>
      <c r="L34" s="29"/>
      <c r="M34" s="106" t="s">
        <v>104</v>
      </c>
      <c r="N34" s="85">
        <f>INT(ABS(SUM(P10:P32)/60))</f>
        <v>0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M36" s="1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89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25:25" x14ac:dyDescent="0.2">
      <c r="Y49" s="10"/>
    </row>
    <row r="50" spans="25:25" x14ac:dyDescent="0.2">
      <c r="Y50" s="10"/>
    </row>
    <row r="51" spans="25:25" x14ac:dyDescent="0.2">
      <c r="Y51" s="10"/>
    </row>
    <row r="52" spans="25:25" x14ac:dyDescent="0.2">
      <c r="Y52" s="10"/>
    </row>
    <row r="53" spans="25:25" x14ac:dyDescent="0.2">
      <c r="Y53" s="10"/>
    </row>
    <row r="54" spans="25:25" x14ac:dyDescent="0.2">
      <c r="Y54" s="10"/>
    </row>
    <row r="55" spans="25:25" x14ac:dyDescent="0.2">
      <c r="Y55" s="10"/>
    </row>
    <row r="56" spans="25:25" x14ac:dyDescent="0.2">
      <c r="Y56" s="10"/>
    </row>
    <row r="57" spans="25:25" x14ac:dyDescent="0.2">
      <c r="Y57" s="10"/>
    </row>
    <row r="58" spans="25:25" x14ac:dyDescent="0.2">
      <c r="Y58" s="10"/>
    </row>
    <row r="59" spans="25:25" x14ac:dyDescent="0.2">
      <c r="Y59" s="10"/>
    </row>
    <row r="60" spans="25:25" x14ac:dyDescent="0.2">
      <c r="Y60" s="10"/>
    </row>
    <row r="61" spans="25:25" x14ac:dyDescent="0.2">
      <c r="Y61" s="10"/>
    </row>
    <row r="62" spans="25:25" x14ac:dyDescent="0.2">
      <c r="Y62" s="10"/>
    </row>
    <row r="63" spans="25:25" x14ac:dyDescent="0.2">
      <c r="Y63" s="10"/>
    </row>
    <row r="64" spans="25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</sheetData>
  <sheetProtection algorithmName="SHA-512" hashValue="Kv54O/OK6PJUYYmzm9gmRpPdMX9FIbO6u3zj1PPwRoFqrQpyxIjXvPcETENfd9jYgYYuOiqQBIWmVxHU0qDpQA==" saltValue="ByVVQpbWvz20oMzPtSDJtw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dataValidations count="14">
    <dataValidation type="whole" allowBlank="1" showInputMessage="1" showErrorMessage="1" error="Enter a Leave Type number between 1 and 11" sqref="M15 M27 M21" xr:uid="{00000000-0002-0000-0500-000000000000}">
      <formula1>1</formula1>
      <formula2>11</formula2>
    </dataValidation>
    <dataValidation type="time" allowBlank="1" showInputMessage="1" showErrorMessage="1" error="Enter the time in 24 hour format, such as 14:00 for 2:00PM" sqref="C10:D14 F22:G32 F16:G20 C16:D20 F10:G14 C22:D32" xr:uid="{00000000-0002-0000-05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10:O14 O28:O32 O22:O26" xr:uid="{00000000-0002-0000-05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 N10" xr:uid="{00000000-0002-0000-05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5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24" xr:uid="{00000000-0002-0000-05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 N25" xr:uid="{00000000-0002-0000-05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4 N26 N32" xr:uid="{00000000-0002-0000-05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10:M14 M16:M20 M22:M26 M28:M32" xr:uid="{00000000-0002-0000-05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6 N28" xr:uid="{00000000-0002-0000-05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7 N29" xr:uid="{00000000-0002-0000-05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5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31" xr:uid="{00000000-0002-0000-0500-00000C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" xr:uid="{00000000-0002-0000-0500-00000D000000}">
      <formula1>0</formula1>
      <formula2>fri_hrs2</formula2>
    </dataValidation>
  </dataValidations>
  <pageMargins left="0.27559055118110237" right="0.27559055118110237" top="0.47244094488188976" bottom="0.47244094488188976" header="0.51181102362204722" footer="0.51181102362204722"/>
  <pageSetup paperSize="9" scale="97" orientation="landscape" blackAndWhite="1" r:id="rId1"/>
  <headerFooter alignWithMargins="0"/>
  <ignoredErrors>
    <ignoredError sqref="C10:G15 C16:G21 C23:G30 C22 D22:G22 C32:G32 C31:E31 F31:G31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F72"/>
  <sheetViews>
    <sheetView zoomScaleNormal="75" workbookViewId="0">
      <selection activeCell="AF17" sqref="AF17"/>
    </sheetView>
  </sheetViews>
  <sheetFormatPr defaultColWidth="8.85546875" defaultRowHeight="12.75" x14ac:dyDescent="0.2"/>
  <cols>
    <col min="1" max="1" width="12.140625" style="1" customWidth="1"/>
    <col min="2" max="2" width="10.5703125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9.140625" hidden="1" customWidth="1"/>
    <col min="20" max="20" width="6.140625" style="2" customWidth="1"/>
    <col min="21" max="24" width="4.85546875" style="1" customWidth="1"/>
    <col min="25" max="25" width="17.28515625" style="35" hidden="1" customWidth="1"/>
    <col min="26" max="28" width="4.8554687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09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3+sheet_end_date_p04</f>
        <v>46111</v>
      </c>
      <c r="V3" s="38"/>
      <c r="W3" s="39"/>
      <c r="X3" s="108" t="s">
        <v>106</v>
      </c>
      <c r="Y3" s="40"/>
      <c r="Z3" s="130">
        <f>A32</f>
        <v>46136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1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6"/>
      <c r="B8" s="206"/>
      <c r="C8" s="207" t="s">
        <v>7</v>
      </c>
      <c r="D8" s="207"/>
      <c r="E8" s="207"/>
      <c r="F8" s="207" t="s">
        <v>8</v>
      </c>
      <c r="G8" s="207"/>
      <c r="H8" s="208"/>
      <c r="I8" s="209" t="s">
        <v>59</v>
      </c>
      <c r="J8" s="208"/>
      <c r="K8" s="210"/>
      <c r="L8" s="52"/>
      <c r="M8" s="209" t="s">
        <v>9</v>
      </c>
      <c r="N8" s="52"/>
      <c r="O8" s="52"/>
      <c r="P8" s="52"/>
      <c r="Q8" s="211"/>
      <c r="R8" s="211"/>
      <c r="S8" s="211"/>
      <c r="T8" s="211"/>
      <c r="U8" s="125" t="s">
        <v>60</v>
      </c>
      <c r="V8" s="125"/>
      <c r="W8" s="125" t="s">
        <v>61</v>
      </c>
      <c r="X8" s="125"/>
      <c r="Y8" s="52" t="s">
        <v>10</v>
      </c>
      <c r="Z8" s="124" t="s">
        <v>11</v>
      </c>
      <c r="AA8" s="212"/>
      <c r="AB8" s="24"/>
    </row>
    <row r="9" spans="1:29" s="17" customFormat="1" ht="21.75" customHeight="1" x14ac:dyDescent="0.2">
      <c r="A9" s="213" t="s">
        <v>12</v>
      </c>
      <c r="B9" s="213" t="s">
        <v>13</v>
      </c>
      <c r="C9" s="213" t="s">
        <v>14</v>
      </c>
      <c r="D9" s="213" t="s">
        <v>15</v>
      </c>
      <c r="E9" s="213" t="s">
        <v>105</v>
      </c>
      <c r="F9" s="213" t="s">
        <v>14</v>
      </c>
      <c r="G9" s="213" t="s">
        <v>15</v>
      </c>
      <c r="H9" s="213" t="s">
        <v>105</v>
      </c>
      <c r="I9" s="213" t="s">
        <v>17</v>
      </c>
      <c r="J9" s="213" t="s">
        <v>18</v>
      </c>
      <c r="K9" s="213" t="s">
        <v>19</v>
      </c>
      <c r="L9" s="213" t="s">
        <v>129</v>
      </c>
      <c r="M9" s="213" t="s">
        <v>71</v>
      </c>
      <c r="N9" s="213" t="s">
        <v>20</v>
      </c>
      <c r="O9" s="213" t="s">
        <v>22</v>
      </c>
      <c r="P9" s="213" t="s">
        <v>62</v>
      </c>
      <c r="Q9" s="213" t="s">
        <v>63</v>
      </c>
      <c r="R9" s="213" t="s">
        <v>64</v>
      </c>
      <c r="S9" s="213" t="s">
        <v>65</v>
      </c>
      <c r="T9" s="213" t="s">
        <v>21</v>
      </c>
      <c r="U9" s="213" t="s">
        <v>17</v>
      </c>
      <c r="V9" s="213" t="s">
        <v>18</v>
      </c>
      <c r="W9" s="213" t="s">
        <v>17</v>
      </c>
      <c r="X9" s="213" t="s">
        <v>18</v>
      </c>
      <c r="Y9" s="213"/>
      <c r="Z9" s="213" t="s">
        <v>20</v>
      </c>
      <c r="AA9" s="213" t="s">
        <v>22</v>
      </c>
      <c r="AB9" s="122" t="s">
        <v>23</v>
      </c>
    </row>
    <row r="10" spans="1:29" s="89" customFormat="1" x14ac:dyDescent="0.2">
      <c r="A10" s="68">
        <f>U3</f>
        <v>46111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147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46112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14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46113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46114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46115</v>
      </c>
      <c r="B14" s="69" t="s">
        <v>28</v>
      </c>
      <c r="C14" s="70"/>
      <c r="D14" s="70"/>
      <c r="E14" s="102">
        <f>D14-C14</f>
        <v>0</v>
      </c>
      <c r="F14" s="70"/>
      <c r="G14" s="70"/>
      <c r="H14" s="71">
        <f>(G14-F14)</f>
        <v>0</v>
      </c>
      <c r="I14" s="72">
        <f>HOUR(E14+H14)</f>
        <v>0</v>
      </c>
      <c r="J14" s="73">
        <f>MINUTE(E14+H14)</f>
        <v>0</v>
      </c>
      <c r="K14" s="74">
        <f>I14*60+J14</f>
        <v>0</v>
      </c>
      <c r="L14" s="67" t="s">
        <v>91</v>
      </c>
      <c r="M14" s="75">
        <v>8</v>
      </c>
      <c r="N14" s="76">
        <v>7</v>
      </c>
      <c r="O14" s="77"/>
      <c r="P14" s="78">
        <f>IF(ISNA(MATCH($M14,{2,3,4,5,6,7,10},0)),0,$Q14)</f>
        <v>0</v>
      </c>
      <c r="Q14" s="79">
        <f>(N14*60)+O14</f>
        <v>420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202"/>
      <c r="D15" s="202"/>
      <c r="E15" s="202"/>
      <c r="F15" s="202"/>
      <c r="G15" s="202"/>
      <c r="H15" s="203"/>
      <c r="I15" s="98"/>
      <c r="J15" s="99"/>
      <c r="K15" s="92"/>
      <c r="L15" s="144"/>
      <c r="M15" s="144"/>
      <c r="N15" s="145"/>
      <c r="O15" s="146"/>
      <c r="P15" s="93"/>
      <c r="Q15" s="97"/>
      <c r="R15" s="227"/>
      <c r="S15" s="228"/>
      <c r="T15" s="94"/>
      <c r="U15" s="229"/>
      <c r="V15" s="229"/>
      <c r="W15" s="229"/>
      <c r="X15" s="229"/>
      <c r="Y15" s="97"/>
      <c r="Z15" s="95"/>
      <c r="AA15" s="96"/>
      <c r="AB15" s="94"/>
    </row>
    <row r="16" spans="1:29" s="89" customFormat="1" x14ac:dyDescent="0.2">
      <c r="A16" s="68">
        <f>A14+3</f>
        <v>46118</v>
      </c>
      <c r="B16" s="69" t="s">
        <v>24</v>
      </c>
      <c r="C16" s="70"/>
      <c r="D16" s="70"/>
      <c r="E16" s="102">
        <f>D16-C16</f>
        <v>0</v>
      </c>
      <c r="F16" s="70"/>
      <c r="G16" s="70"/>
      <c r="H16" s="71">
        <f>(G16-F16)</f>
        <v>0</v>
      </c>
      <c r="I16" s="72">
        <f>HOUR(E16+H16)</f>
        <v>0</v>
      </c>
      <c r="J16" s="73">
        <f>MINUTE(E16+H16)</f>
        <v>0</v>
      </c>
      <c r="K16" s="74">
        <f>I16*60+J16</f>
        <v>0</v>
      </c>
      <c r="L16" s="67" t="s">
        <v>98</v>
      </c>
      <c r="M16" s="75">
        <v>8</v>
      </c>
      <c r="N16" s="76">
        <v>7</v>
      </c>
      <c r="O16" s="77"/>
      <c r="P16" s="78">
        <f>IF(ISNA(MATCH($M16,{2,3,4,5,6,7,10},0)),0,$Q16)</f>
        <v>0</v>
      </c>
      <c r="Q16" s="79">
        <f>(N16*60)+O16</f>
        <v>420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230">
        <f>A16+1</f>
        <v>46119</v>
      </c>
      <c r="B17" s="231" t="s">
        <v>25</v>
      </c>
      <c r="C17" s="239"/>
      <c r="D17" s="239"/>
      <c r="E17" s="233">
        <f>D17-C17</f>
        <v>0</v>
      </c>
      <c r="F17" s="239"/>
      <c r="G17" s="239"/>
      <c r="H17" s="232">
        <f>(G17-F17)</f>
        <v>0</v>
      </c>
      <c r="I17" s="234">
        <f>HOUR(E17+H17)</f>
        <v>0</v>
      </c>
      <c r="J17" s="205">
        <f>MINUTE(E17+H17)</f>
        <v>0</v>
      </c>
      <c r="K17" s="235">
        <f>I17*60+J17</f>
        <v>0</v>
      </c>
      <c r="L17" s="67" t="s">
        <v>97</v>
      </c>
      <c r="M17" s="75">
        <v>9</v>
      </c>
      <c r="N17" s="76">
        <v>7</v>
      </c>
      <c r="O17" s="240"/>
      <c r="P17" s="241">
        <f>IF(ISNA(MATCH($M17,{2,3,4,5,6,7,10},0)),0,$Q17)</f>
        <v>0</v>
      </c>
      <c r="Q17" s="236">
        <f>(N17*60)+O17</f>
        <v>420</v>
      </c>
      <c r="R17" s="242">
        <f>K17+Q17</f>
        <v>420</v>
      </c>
      <c r="S17" s="243">
        <f>IF(K17=0,IF(M17=1,-tue_mins2,0),R17-tue_mins2)</f>
        <v>0</v>
      </c>
      <c r="T17" s="237"/>
      <c r="U17" s="244">
        <f>IF($S17&gt;0,TRUNC(($S17)/60),0)</f>
        <v>0</v>
      </c>
      <c r="V17" s="245">
        <f>IF($S17&gt;0,MOD(ABS($S17),60),0)</f>
        <v>0</v>
      </c>
      <c r="W17" s="244">
        <f t="shared" si="0"/>
        <v>0</v>
      </c>
      <c r="X17" s="245">
        <f t="shared" si="1"/>
        <v>0</v>
      </c>
      <c r="Y17" s="235">
        <f>IF(S17=0,Y16,Y16+S17)</f>
        <v>0</v>
      </c>
      <c r="Z17" s="204">
        <f>INT(ABS(Y17/60))</f>
        <v>0</v>
      </c>
      <c r="AA17" s="238">
        <f>MOD(ABS(Y17),60)</f>
        <v>0</v>
      </c>
      <c r="AB17" s="237" t="str">
        <f>IF(Y17 &lt;0,"DB","CR")</f>
        <v>CR</v>
      </c>
    </row>
    <row r="18" spans="1:28" s="89" customFormat="1" x14ac:dyDescent="0.2">
      <c r="A18" s="68">
        <f>A17+1</f>
        <v>46120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46121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 t="shared" ref="I19:I20" si="2"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46122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 t="shared" si="2"/>
        <v>7</v>
      </c>
      <c r="J20" s="73">
        <f>MINUTE(E20+H20)</f>
        <v>0</v>
      </c>
      <c r="K20" s="74">
        <f>I20*60+J20</f>
        <v>420</v>
      </c>
      <c r="L20" s="67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68"/>
      <c r="B21" s="69"/>
      <c r="C21" s="102"/>
      <c r="D21" s="102"/>
      <c r="E21" s="102"/>
      <c r="F21" s="102"/>
      <c r="G21" s="102"/>
      <c r="H21" s="71"/>
      <c r="I21" s="72"/>
      <c r="J21" s="73"/>
      <c r="K21" s="74"/>
      <c r="L21" s="67"/>
      <c r="M21" s="67"/>
      <c r="N21" s="214"/>
      <c r="O21" s="148"/>
      <c r="P21" s="101"/>
      <c r="Q21" s="79"/>
      <c r="R21" s="79"/>
      <c r="S21" s="101"/>
      <c r="T21" s="87"/>
      <c r="U21" s="72"/>
      <c r="V21" s="73"/>
      <c r="W21" s="72"/>
      <c r="X21" s="72"/>
      <c r="Y21" s="79"/>
      <c r="Z21" s="85"/>
      <c r="AA21" s="86"/>
      <c r="AB21" s="87"/>
    </row>
    <row r="22" spans="1:28" s="89" customFormat="1" x14ac:dyDescent="0.2">
      <c r="A22" s="68">
        <f>A20+3</f>
        <v>46125</v>
      </c>
      <c r="B22" s="69" t="s">
        <v>24</v>
      </c>
      <c r="C22" s="70">
        <f>start_time</f>
        <v>0.375</v>
      </c>
      <c r="D22" s="70">
        <f>start_lunch</f>
        <v>0.52083333333333337</v>
      </c>
      <c r="E22" s="102">
        <f>D22-C22</f>
        <v>0.14583333333333337</v>
      </c>
      <c r="F22" s="70">
        <f>end_lunch</f>
        <v>0.5625</v>
      </c>
      <c r="G22" s="70">
        <f>end_time</f>
        <v>0.70833333333333337</v>
      </c>
      <c r="H22" s="71">
        <f>(G22-F22)</f>
        <v>0.14583333333333337</v>
      </c>
      <c r="I22" s="72">
        <f>HOUR(E22+H22)</f>
        <v>7</v>
      </c>
      <c r="J22" s="73">
        <f>MINUTE(E22+H22)</f>
        <v>0</v>
      </c>
      <c r="K22" s="74">
        <f>I22*60+J22</f>
        <v>420</v>
      </c>
      <c r="L22" s="147"/>
      <c r="M22" s="75"/>
      <c r="N22" s="76"/>
      <c r="O22" s="77"/>
      <c r="P22" s="78">
        <f>IF(ISNA(MATCH($M22,{2,3,4,5,6,7,10},0)),0,$Q22)</f>
        <v>0</v>
      </c>
      <c r="Q22" s="79">
        <f>(N22*60)+O22</f>
        <v>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46126</v>
      </c>
      <c r="B23" s="69" t="s">
        <v>25</v>
      </c>
      <c r="C23" s="70">
        <f>start_time</f>
        <v>0.375</v>
      </c>
      <c r="D23" s="70">
        <f>start_lunch</f>
        <v>0.52083333333333337</v>
      </c>
      <c r="E23" s="102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147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46127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14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46128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14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46129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L26" s="67"/>
      <c r="M26" s="75"/>
      <c r="N26" s="76"/>
      <c r="O26" s="77"/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68"/>
      <c r="B27" s="69"/>
      <c r="C27" s="102"/>
      <c r="D27" s="102"/>
      <c r="E27" s="102"/>
      <c r="F27" s="102"/>
      <c r="G27" s="102"/>
      <c r="H27" s="71"/>
      <c r="I27" s="72"/>
      <c r="J27" s="73"/>
      <c r="K27" s="74"/>
      <c r="L27" s="147"/>
      <c r="M27" s="67"/>
      <c r="N27" s="150"/>
      <c r="O27" s="151"/>
      <c r="P27" s="101"/>
      <c r="Q27" s="79"/>
      <c r="R27" s="79"/>
      <c r="S27" s="101"/>
      <c r="T27" s="87"/>
      <c r="U27" s="72"/>
      <c r="V27" s="73"/>
      <c r="W27" s="72"/>
      <c r="X27" s="72"/>
      <c r="Y27" s="79"/>
      <c r="Z27" s="85"/>
      <c r="AA27" s="86"/>
      <c r="AB27" s="87"/>
    </row>
    <row r="28" spans="1:28" s="89" customFormat="1" x14ac:dyDescent="0.2">
      <c r="A28" s="68">
        <f>A26+3</f>
        <v>46132</v>
      </c>
      <c r="B28" s="69" t="s">
        <v>24</v>
      </c>
      <c r="C28" s="70">
        <f>start_time</f>
        <v>0.375</v>
      </c>
      <c r="D28" s="70">
        <f>start_lunch</f>
        <v>0.52083333333333337</v>
      </c>
      <c r="E28" s="102">
        <f>D28-C28</f>
        <v>0.14583333333333337</v>
      </c>
      <c r="F28" s="70">
        <f>end_lunch</f>
        <v>0.5625</v>
      </c>
      <c r="G28" s="70">
        <f>end_time</f>
        <v>0.70833333333333337</v>
      </c>
      <c r="H28" s="71">
        <f>(G28-F28)</f>
        <v>0.14583333333333337</v>
      </c>
      <c r="I28" s="72">
        <f>HOUR(E28+H28)</f>
        <v>7</v>
      </c>
      <c r="J28" s="73">
        <f>MINUTE(E28+H28)</f>
        <v>0</v>
      </c>
      <c r="K28" s="74">
        <f>I28*60+J28</f>
        <v>420</v>
      </c>
      <c r="L28" s="67"/>
      <c r="M28" s="75"/>
      <c r="N28" s="76"/>
      <c r="O28" s="77"/>
      <c r="P28" s="78">
        <f>IF(ISNA(MATCH($M28,{2,3,4,5,6,7,10},0)),0,$Q28)</f>
        <v>0</v>
      </c>
      <c r="Q28" s="79">
        <f>(N28*60)+O28</f>
        <v>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3">INT(ABS(Y28/60))</f>
        <v>0</v>
      </c>
      <c r="AA28" s="86">
        <f t="shared" ref="AA28:AA33" si="4">MOD(ABS(Y28),60)</f>
        <v>0</v>
      </c>
      <c r="AB28" s="87" t="str">
        <f t="shared" ref="AB28:AB33" si="5">IF(Y28 &lt;0,"DB","CR")</f>
        <v>CR</v>
      </c>
    </row>
    <row r="29" spans="1:28" s="89" customFormat="1" x14ac:dyDescent="0.2">
      <c r="A29" s="68">
        <f>A28+1</f>
        <v>46133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6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3"/>
        <v>0</v>
      </c>
      <c r="AA29" s="86">
        <f t="shared" si="4"/>
        <v>0</v>
      </c>
      <c r="AB29" s="87" t="str">
        <f t="shared" si="5"/>
        <v>CR</v>
      </c>
    </row>
    <row r="30" spans="1:28" s="89" customFormat="1" x14ac:dyDescent="0.2">
      <c r="A30" s="68">
        <f>A29+1</f>
        <v>46134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3"/>
        <v>0</v>
      </c>
      <c r="AA30" s="86">
        <f t="shared" si="4"/>
        <v>0</v>
      </c>
      <c r="AB30" s="87" t="str">
        <f t="shared" si="5"/>
        <v>CR</v>
      </c>
    </row>
    <row r="31" spans="1:28" s="89" customFormat="1" x14ac:dyDescent="0.2">
      <c r="A31" s="68">
        <f>A30+1</f>
        <v>46135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85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3"/>
        <v>0</v>
      </c>
      <c r="AA31" s="86">
        <f t="shared" si="4"/>
        <v>0</v>
      </c>
      <c r="AB31" s="87" t="str">
        <f t="shared" si="5"/>
        <v>CR</v>
      </c>
    </row>
    <row r="32" spans="1:28" s="89" customFormat="1" x14ac:dyDescent="0.2">
      <c r="A32" s="68">
        <f>A31+1</f>
        <v>46136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67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3"/>
        <v>0</v>
      </c>
      <c r="AA32" s="86">
        <f t="shared" si="4"/>
        <v>0</v>
      </c>
      <c r="AB32" s="87" t="str">
        <f t="shared" si="5"/>
        <v>CR</v>
      </c>
    </row>
    <row r="33" spans="1:32" ht="15.75" x14ac:dyDescent="0.25">
      <c r="H33" s="104" t="s">
        <v>66</v>
      </c>
      <c r="I33" s="139">
        <f>SUM(I10:I32)+INT(SUM(J10:J32)/60)</f>
        <v>119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21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3"/>
        <v>0</v>
      </c>
      <c r="AA33" s="135">
        <f t="shared" si="4"/>
        <v>0</v>
      </c>
      <c r="AB33" s="138" t="str">
        <f t="shared" si="5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26"/>
      <c r="I34" s="27"/>
      <c r="J34" s="17"/>
      <c r="K34" s="17"/>
      <c r="L34" s="29"/>
      <c r="M34" s="106" t="s">
        <v>104</v>
      </c>
      <c r="N34" s="85">
        <f>INT(ABS(SUM(P10:P32)/60))</f>
        <v>0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25:25" x14ac:dyDescent="0.2">
      <c r="Y49" s="10"/>
    </row>
    <row r="50" spans="25:25" x14ac:dyDescent="0.2">
      <c r="Y50" s="10"/>
    </row>
    <row r="51" spans="25:25" x14ac:dyDescent="0.2">
      <c r="Y51" s="10"/>
    </row>
    <row r="52" spans="25:25" x14ac:dyDescent="0.2">
      <c r="Y52" s="10"/>
    </row>
    <row r="53" spans="25:25" x14ac:dyDescent="0.2">
      <c r="Y53" s="10"/>
    </row>
    <row r="54" spans="25:25" x14ac:dyDescent="0.2">
      <c r="Y54" s="10"/>
    </row>
    <row r="55" spans="25:25" x14ac:dyDescent="0.2">
      <c r="Y55" s="10"/>
    </row>
    <row r="56" spans="25:25" x14ac:dyDescent="0.2">
      <c r="Y56" s="10"/>
    </row>
    <row r="57" spans="25:25" x14ac:dyDescent="0.2">
      <c r="Y57" s="10"/>
    </row>
    <row r="58" spans="25:25" x14ac:dyDescent="0.2">
      <c r="Y58" s="10"/>
    </row>
    <row r="59" spans="25:25" x14ac:dyDescent="0.2">
      <c r="Y59" s="10"/>
    </row>
    <row r="60" spans="25:25" x14ac:dyDescent="0.2">
      <c r="Y60" s="10"/>
    </row>
    <row r="61" spans="25:25" x14ac:dyDescent="0.2">
      <c r="Y61" s="10"/>
    </row>
    <row r="62" spans="25:25" x14ac:dyDescent="0.2">
      <c r="Y62" s="10"/>
    </row>
    <row r="63" spans="25:25" x14ac:dyDescent="0.2">
      <c r="Y63" s="10"/>
    </row>
    <row r="64" spans="25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</sheetData>
  <sheetProtection algorithmName="SHA-512" hashValue="HPuPuN7EtLXbMiB7IUIytjZ3bd/uHeHJeiJTFF7VhSaO74qUU92lha43cMBTuar0R3vSTjOTvdSnBaSl1WQ9Xg==" saltValue="WHPgPRRk0dctwpyo/rXkNA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dataValidations count="14">
    <dataValidation type="whole" allowBlank="1" showInputMessage="1" showErrorMessage="1" error="Enter a Leave Type number between 1 and 11" sqref="M15 M21" xr:uid="{00000000-0002-0000-0600-000000000000}">
      <formula1>1</formula1>
      <formula2>11</formula2>
    </dataValidation>
    <dataValidation type="time" allowBlank="1" showInputMessage="1" showErrorMessage="1" error="Enter the time in 24 hour format, such as 14:00 for 2:00PM" sqref="F22:G26 C16:D20 F10:G14 F28:G32 F16:G20 C22:D26 C10:D14 C28:D32" xr:uid="{00000000-0002-0000-06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10:O14 O22:O32" xr:uid="{00000000-0002-0000-06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" xr:uid="{00000000-0002-0000-06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6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24" xr:uid="{00000000-0002-0000-06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" xr:uid="{00000000-0002-0000-06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6:N27 N14" xr:uid="{00000000-0002-0000-06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26:M32 M10:M14 M22:M24 M16:M20" xr:uid="{00000000-0002-0000-06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0 N28 N16" xr:uid="{00000000-0002-0000-06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9 N17" xr:uid="{00000000-0002-0000-06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6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31" xr:uid="{00000000-0002-0000-0600-00000C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 N32" xr:uid="{00000000-0002-0000-0600-00000D000000}">
      <formula1>0</formula1>
      <formula2>fri_hrs2</formula2>
    </dataValidation>
  </dataValidations>
  <pageMargins left="0.27559055118110237" right="0.27559055118110237" top="0.47244094488188981" bottom="0.47244094488188981" header="0.51181102362204722" footer="0.51181102362204722"/>
  <pageSetup paperSize="9" scale="97" orientation="landscape" blackAndWhite="1" r:id="rId1"/>
  <headerFooter alignWithMargins="0"/>
  <ignoredErrors>
    <ignoredError sqref="C10:G13 C27:G27 E26 E31 E28 E32 C15:G15 E14 C18:G25 E16:E17 C31:D31 C32:D32 F31:G31 E29 F32:G32 C28:D28 C26:D26 F26:G26 F28:G28 C29:D29 F29:G29 F30:G30 C30:E30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F72"/>
  <sheetViews>
    <sheetView zoomScaleNormal="75" workbookViewId="0">
      <selection activeCell="L36" sqref="L36"/>
    </sheetView>
  </sheetViews>
  <sheetFormatPr defaultColWidth="8.85546875" defaultRowHeight="12.75" x14ac:dyDescent="0.2"/>
  <cols>
    <col min="1" max="1" width="12.140625" style="1" customWidth="1"/>
    <col min="2" max="2" width="10.28515625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9.140625" hidden="1" customWidth="1"/>
    <col min="20" max="20" width="6.140625" style="2" customWidth="1"/>
    <col min="21" max="23" width="4.140625" style="1" customWidth="1"/>
    <col min="24" max="24" width="5.5703125" style="1" customWidth="1"/>
    <col min="25" max="25" width="6.42578125" style="35" hidden="1" customWidth="1"/>
    <col min="26" max="27" width="5.28515625" style="1" customWidth="1"/>
    <col min="28" max="28" width="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09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3+sheet_end_date_p05</f>
        <v>46139</v>
      </c>
      <c r="V3" s="38"/>
      <c r="W3" s="39"/>
      <c r="X3" s="108" t="s">
        <v>106</v>
      </c>
      <c r="Y3" s="40"/>
      <c r="Z3" s="130">
        <f>A32</f>
        <v>46164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1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"/>
      <c r="B8" s="20"/>
      <c r="C8" s="117" t="s">
        <v>7</v>
      </c>
      <c r="D8" s="118"/>
      <c r="E8" s="118"/>
      <c r="F8" s="119" t="s">
        <v>8</v>
      </c>
      <c r="G8" s="118"/>
      <c r="H8" s="21"/>
      <c r="I8" s="46" t="s">
        <v>59</v>
      </c>
      <c r="J8" s="21"/>
      <c r="K8" s="13"/>
      <c r="L8" s="22"/>
      <c r="M8" s="47" t="s">
        <v>9</v>
      </c>
      <c r="N8" s="48"/>
      <c r="O8" s="48"/>
      <c r="P8" s="52"/>
      <c r="Q8" s="15"/>
      <c r="R8" s="15"/>
      <c r="S8" s="15"/>
      <c r="T8" s="149"/>
      <c r="U8" s="125" t="s">
        <v>60</v>
      </c>
      <c r="V8" s="126"/>
      <c r="W8" s="116" t="s">
        <v>61</v>
      </c>
      <c r="X8" s="125"/>
      <c r="Y8" s="52" t="s">
        <v>10</v>
      </c>
      <c r="Z8" s="124" t="s">
        <v>11</v>
      </c>
      <c r="AA8" s="23"/>
      <c r="AB8" s="24"/>
    </row>
    <row r="9" spans="1:29" s="17" customFormat="1" ht="21.75" customHeight="1" x14ac:dyDescent="0.2">
      <c r="A9" s="121" t="s">
        <v>12</v>
      </c>
      <c r="B9" s="121" t="s">
        <v>13</v>
      </c>
      <c r="C9" s="121" t="s">
        <v>14</v>
      </c>
      <c r="D9" s="121" t="s">
        <v>15</v>
      </c>
      <c r="E9" s="121" t="s">
        <v>105</v>
      </c>
      <c r="F9" s="121" t="s">
        <v>14</v>
      </c>
      <c r="G9" s="121" t="s">
        <v>15</v>
      </c>
      <c r="H9" s="121" t="s">
        <v>105</v>
      </c>
      <c r="I9" s="121" t="s">
        <v>17</v>
      </c>
      <c r="J9" s="121" t="s">
        <v>18</v>
      </c>
      <c r="K9" s="121" t="s">
        <v>19</v>
      </c>
      <c r="L9" s="121" t="s">
        <v>129</v>
      </c>
      <c r="M9" s="121" t="s">
        <v>71</v>
      </c>
      <c r="N9" s="121" t="s">
        <v>20</v>
      </c>
      <c r="O9" s="121" t="s">
        <v>22</v>
      </c>
      <c r="P9" s="121" t="s">
        <v>62</v>
      </c>
      <c r="Q9" s="121" t="s">
        <v>63</v>
      </c>
      <c r="R9" s="121" t="s">
        <v>64</v>
      </c>
      <c r="S9" s="121" t="s">
        <v>65</v>
      </c>
      <c r="T9" s="121" t="s">
        <v>21</v>
      </c>
      <c r="U9" s="121" t="s">
        <v>17</v>
      </c>
      <c r="V9" s="121" t="s">
        <v>18</v>
      </c>
      <c r="W9" s="121" t="s">
        <v>17</v>
      </c>
      <c r="X9" s="121" t="s">
        <v>18</v>
      </c>
      <c r="Y9" s="121"/>
      <c r="Z9" s="121" t="s">
        <v>20</v>
      </c>
      <c r="AA9" s="121" t="s">
        <v>22</v>
      </c>
      <c r="AB9" s="122" t="s">
        <v>23</v>
      </c>
    </row>
    <row r="10" spans="1:29" s="89" customFormat="1" x14ac:dyDescent="0.2">
      <c r="A10" s="68">
        <f>U3</f>
        <v>46139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67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46140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46141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46142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46143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100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102"/>
      <c r="D15" s="102"/>
      <c r="E15" s="102"/>
      <c r="F15" s="102"/>
      <c r="G15" s="102"/>
      <c r="H15" s="71"/>
      <c r="I15" s="72"/>
      <c r="J15" s="73"/>
      <c r="K15" s="92"/>
      <c r="L15" s="143"/>
      <c r="M15" s="144"/>
      <c r="N15" s="145"/>
      <c r="O15" s="146"/>
      <c r="P15" s="93"/>
      <c r="Q15" s="79"/>
      <c r="R15" s="80"/>
      <c r="S15" s="81"/>
      <c r="T15" s="94"/>
      <c r="U15" s="83"/>
      <c r="V15" s="83"/>
      <c r="W15" s="83"/>
      <c r="X15" s="83"/>
      <c r="Y15" s="131"/>
      <c r="Z15" s="95"/>
      <c r="AA15" s="96"/>
      <c r="AB15" s="94"/>
    </row>
    <row r="16" spans="1:29" s="89" customFormat="1" x14ac:dyDescent="0.2">
      <c r="A16" s="68">
        <f>A14+3</f>
        <v>46146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>D16-C16</f>
        <v>0.14583333333333337</v>
      </c>
      <c r="F16" s="70">
        <f>end_lunch</f>
        <v>0.5625</v>
      </c>
      <c r="G16" s="70">
        <f>end_time</f>
        <v>0.70833333333333337</v>
      </c>
      <c r="H16" s="71">
        <f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67"/>
      <c r="M16" s="75"/>
      <c r="N16" s="76"/>
      <c r="O16" s="77"/>
      <c r="P16" s="78">
        <f>IF(ISNA(MATCH($M16,{2,3,4,5,6,7,10},0)),0,$Q16)</f>
        <v>0</v>
      </c>
      <c r="Q16" s="79">
        <f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46147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>(N17*60)+O17</f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46148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46149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46150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100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90"/>
      <c r="B21" s="91"/>
      <c r="C21" s="102"/>
      <c r="D21" s="102"/>
      <c r="E21" s="102"/>
      <c r="F21" s="102"/>
      <c r="G21" s="102"/>
      <c r="H21" s="71"/>
      <c r="I21" s="72"/>
      <c r="J21" s="73"/>
      <c r="K21" s="92"/>
      <c r="L21" s="144"/>
      <c r="M21" s="144"/>
      <c r="N21" s="145"/>
      <c r="O21" s="146"/>
      <c r="P21" s="93"/>
      <c r="Q21" s="97"/>
      <c r="R21" s="97"/>
      <c r="S21" s="93"/>
      <c r="T21" s="94"/>
      <c r="U21" s="98"/>
      <c r="V21" s="99"/>
      <c r="W21" s="98"/>
      <c r="X21" s="98"/>
      <c r="Y21" s="131"/>
      <c r="Z21" s="95"/>
      <c r="AA21" s="96"/>
      <c r="AB21" s="94"/>
    </row>
    <row r="22" spans="1:28" s="89" customFormat="1" x14ac:dyDescent="0.2">
      <c r="A22" s="68">
        <f>A20+3</f>
        <v>46153</v>
      </c>
      <c r="B22" s="69" t="s">
        <v>24</v>
      </c>
      <c r="C22" s="70">
        <f>start_time</f>
        <v>0.375</v>
      </c>
      <c r="D22" s="70">
        <f>start_lunch</f>
        <v>0.52083333333333337</v>
      </c>
      <c r="E22" s="102">
        <f>D22-C22</f>
        <v>0.14583333333333337</v>
      </c>
      <c r="F22" s="70">
        <f>end_lunch</f>
        <v>0.5625</v>
      </c>
      <c r="G22" s="70">
        <f>end_time</f>
        <v>0.70833333333333337</v>
      </c>
      <c r="H22" s="71">
        <f>(G22-F22)</f>
        <v>0.14583333333333337</v>
      </c>
      <c r="I22" s="72">
        <f>HOUR(E22+H22)</f>
        <v>7</v>
      </c>
      <c r="J22" s="73">
        <f>MINUTE(E22+H22)</f>
        <v>0</v>
      </c>
      <c r="K22" s="74">
        <f>I22*60+J22</f>
        <v>420</v>
      </c>
      <c r="L22" s="67"/>
      <c r="M22" s="75"/>
      <c r="N22" s="76"/>
      <c r="O22" s="77"/>
      <c r="P22" s="78">
        <f>IF(ISNA(MATCH($M22,{2,3,4,5,6,7,10},0)),0,$Q22)</f>
        <v>0</v>
      </c>
      <c r="Q22" s="79">
        <f>(N22*60)+O22</f>
        <v>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46154</v>
      </c>
      <c r="B23" s="69" t="s">
        <v>25</v>
      </c>
      <c r="C23" s="70">
        <f>start_time</f>
        <v>0.375</v>
      </c>
      <c r="D23" s="70">
        <f>start_lunch</f>
        <v>0.52083333333333337</v>
      </c>
      <c r="E23" s="102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67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46155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6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46156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6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46157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L26" s="100"/>
      <c r="M26" s="75"/>
      <c r="N26" s="76"/>
      <c r="O26" s="77"/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90"/>
      <c r="B27" s="91"/>
      <c r="C27" s="102"/>
      <c r="D27" s="102"/>
      <c r="E27" s="102"/>
      <c r="F27" s="102"/>
      <c r="G27" s="102"/>
      <c r="H27" s="71"/>
      <c r="I27" s="72"/>
      <c r="J27" s="73"/>
      <c r="K27" s="92"/>
      <c r="L27" s="143"/>
      <c r="M27" s="144"/>
      <c r="N27" s="145"/>
      <c r="O27" s="148"/>
      <c r="P27" s="93"/>
      <c r="Q27" s="97"/>
      <c r="R27" s="97"/>
      <c r="S27" s="101"/>
      <c r="T27" s="94"/>
      <c r="U27" s="98"/>
      <c r="V27" s="99"/>
      <c r="W27" s="98"/>
      <c r="X27" s="98"/>
      <c r="Y27" s="131"/>
      <c r="Z27" s="95"/>
      <c r="AA27" s="96"/>
      <c r="AB27" s="94"/>
    </row>
    <row r="28" spans="1:28" s="89" customFormat="1" x14ac:dyDescent="0.2">
      <c r="A28" s="68">
        <f>A26+3</f>
        <v>46160</v>
      </c>
      <c r="B28" s="69" t="s">
        <v>24</v>
      </c>
      <c r="C28" s="70">
        <f>start_time</f>
        <v>0.375</v>
      </c>
      <c r="D28" s="70">
        <f>start_lunch</f>
        <v>0.52083333333333337</v>
      </c>
      <c r="E28" s="102">
        <f>D28-C28</f>
        <v>0.14583333333333337</v>
      </c>
      <c r="F28" s="70">
        <f>end_lunch</f>
        <v>0.5625</v>
      </c>
      <c r="G28" s="70">
        <f>end_time</f>
        <v>0.70833333333333337</v>
      </c>
      <c r="H28" s="71">
        <f>(G28-F28)</f>
        <v>0.14583333333333337</v>
      </c>
      <c r="I28" s="72">
        <f>HOUR(E28+H28)</f>
        <v>7</v>
      </c>
      <c r="J28" s="73">
        <f>MINUTE(E28+H28)</f>
        <v>0</v>
      </c>
      <c r="K28" s="74">
        <f>I28*60+J28</f>
        <v>420</v>
      </c>
      <c r="L28" s="67"/>
      <c r="M28" s="75"/>
      <c r="N28" s="76"/>
      <c r="O28" s="77"/>
      <c r="P28" s="78">
        <f>IF(ISNA(MATCH($M28,{2,3,4,5,6,7,10},0)),0,$Q28)</f>
        <v>0</v>
      </c>
      <c r="Q28" s="79">
        <f>(N28*60)+O28</f>
        <v>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2">INT(ABS(Y28/60))</f>
        <v>0</v>
      </c>
      <c r="AA28" s="86">
        <f t="shared" ref="AA28:AA33" si="3">MOD(ABS(Y28),60)</f>
        <v>0</v>
      </c>
      <c r="AB28" s="87" t="str">
        <f t="shared" ref="AB28:AB33" si="4">IF(Y28 &lt;0,"DB","CR")</f>
        <v>CR</v>
      </c>
    </row>
    <row r="29" spans="1:28" s="89" customFormat="1" x14ac:dyDescent="0.2">
      <c r="A29" s="68">
        <f>A28+1</f>
        <v>46161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6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2"/>
        <v>0</v>
      </c>
      <c r="AA29" s="86">
        <f t="shared" si="3"/>
        <v>0</v>
      </c>
      <c r="AB29" s="87" t="str">
        <f t="shared" si="4"/>
        <v>CR</v>
      </c>
    </row>
    <row r="30" spans="1:28" s="89" customFormat="1" x14ac:dyDescent="0.2">
      <c r="A30" s="68">
        <f>A29+1</f>
        <v>46162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2"/>
        <v>0</v>
      </c>
      <c r="AA30" s="86">
        <f t="shared" si="3"/>
        <v>0</v>
      </c>
      <c r="AB30" s="87" t="str">
        <f t="shared" si="4"/>
        <v>CR</v>
      </c>
    </row>
    <row r="31" spans="1:28" s="89" customFormat="1" x14ac:dyDescent="0.2">
      <c r="A31" s="68">
        <f>A30+1</f>
        <v>46163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67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2"/>
        <v>0</v>
      </c>
      <c r="AA31" s="86">
        <f t="shared" si="3"/>
        <v>0</v>
      </c>
      <c r="AB31" s="87" t="str">
        <f t="shared" si="4"/>
        <v>CR</v>
      </c>
    </row>
    <row r="32" spans="1:28" s="89" customFormat="1" x14ac:dyDescent="0.2">
      <c r="A32" s="68">
        <f>A31+1</f>
        <v>46164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100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2"/>
        <v>0</v>
      </c>
      <c r="AA32" s="86">
        <f t="shared" si="3"/>
        <v>0</v>
      </c>
      <c r="AB32" s="87" t="str">
        <f t="shared" si="4"/>
        <v>CR</v>
      </c>
    </row>
    <row r="33" spans="1:32" ht="15.75" x14ac:dyDescent="0.25">
      <c r="H33" s="104" t="s">
        <v>66</v>
      </c>
      <c r="I33" s="139">
        <f>SUM(I10:I32)+INT(SUM(J10:J32)/60)</f>
        <v>140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0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2"/>
        <v>0</v>
      </c>
      <c r="AA33" s="135">
        <f t="shared" si="3"/>
        <v>0</v>
      </c>
      <c r="AB33" s="138" t="str">
        <f t="shared" si="4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26"/>
      <c r="I34" s="27"/>
      <c r="J34" s="17"/>
      <c r="K34" s="17"/>
      <c r="L34" s="29"/>
      <c r="M34" s="106" t="s">
        <v>104</v>
      </c>
      <c r="N34" s="85">
        <f>INT(ABS(SUM(P10:P32)/60))</f>
        <v>0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25:25" x14ac:dyDescent="0.2">
      <c r="Y49" s="10"/>
    </row>
    <row r="50" spans="25:25" x14ac:dyDescent="0.2">
      <c r="Y50" s="10"/>
    </row>
    <row r="51" spans="25:25" x14ac:dyDescent="0.2">
      <c r="Y51" s="10"/>
    </row>
    <row r="52" spans="25:25" x14ac:dyDescent="0.2">
      <c r="Y52" s="10"/>
    </row>
    <row r="53" spans="25:25" x14ac:dyDescent="0.2">
      <c r="Y53" s="10"/>
    </row>
    <row r="54" spans="25:25" x14ac:dyDescent="0.2">
      <c r="Y54" s="10"/>
    </row>
    <row r="55" spans="25:25" x14ac:dyDescent="0.2">
      <c r="Y55" s="10"/>
    </row>
    <row r="56" spans="25:25" x14ac:dyDescent="0.2">
      <c r="Y56" s="10"/>
    </row>
    <row r="57" spans="25:25" x14ac:dyDescent="0.2">
      <c r="Y57" s="10"/>
    </row>
    <row r="58" spans="25:25" x14ac:dyDescent="0.2">
      <c r="Y58" s="10"/>
    </row>
    <row r="59" spans="25:25" x14ac:dyDescent="0.2">
      <c r="Y59" s="10"/>
    </row>
    <row r="60" spans="25:25" x14ac:dyDescent="0.2">
      <c r="Y60" s="10"/>
    </row>
    <row r="61" spans="25:25" x14ac:dyDescent="0.2">
      <c r="Y61" s="10"/>
    </row>
    <row r="62" spans="25:25" x14ac:dyDescent="0.2">
      <c r="Y62" s="10"/>
    </row>
    <row r="63" spans="25:25" x14ac:dyDescent="0.2">
      <c r="Y63" s="10"/>
    </row>
    <row r="64" spans="25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</sheetData>
  <sheetProtection algorithmName="SHA-512" hashValue="Ob9GXFa7qlFHUyFa9URli+GkMDMMl1em17JYGiiJNW1cyzPQmE9bErtrFYtWyj+Kq4YQxrZpIkDQcbdsKrQshg==" saltValue="ZDLBqwVFoGQulvLXEb19jA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dataValidations count="14">
    <dataValidation type="whole" allowBlank="1" showInputMessage="1" showErrorMessage="1" error="Enter a Leave Type number between 1 and 11" sqref="M15 M27 M21" xr:uid="{00000000-0002-0000-0700-000000000000}">
      <formula1>1</formula1>
      <formula2>11</formula2>
    </dataValidation>
    <dataValidation type="time" allowBlank="1" showInputMessage="1" showErrorMessage="1" error="Enter the time in 24 hour format, such as 14:00 for 2:00PM" sqref="C28:D32 F22:G26 C10:D14 C16:D20 F28:G32 C22:D26 F10:G14 F16:G20" xr:uid="{00000000-0002-0000-07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10:O14 O28:O32 O22:O26" xr:uid="{00000000-0002-0000-07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 N10" xr:uid="{00000000-0002-0000-07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7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24" xr:uid="{00000000-0002-0000-07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 N25" xr:uid="{00000000-0002-0000-07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4 N26" xr:uid="{00000000-0002-0000-07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10:M14 M28:M32 M22:M26 M16:M20" xr:uid="{00000000-0002-0000-07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6 N28" xr:uid="{00000000-0002-0000-07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7 N29" xr:uid="{00000000-0002-0000-07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7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31" xr:uid="{00000000-0002-0000-0700-00000C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 N32" xr:uid="{00000000-0002-0000-0700-00000D000000}">
      <formula1>0</formula1>
      <formula2>fri_hrs2</formula2>
    </dataValidation>
  </dataValidations>
  <pageMargins left="0.27559055118110237" right="0.27559055118110237" top="0.47244094488188981" bottom="0.47244094488188981" header="0.51181102362204722" footer="0.51181102362204722"/>
  <pageSetup paperSize="9" scale="96" orientation="landscape" blackAndWhite="1" r:id="rId1"/>
  <headerFooter alignWithMargins="0"/>
  <ignoredErrors>
    <ignoredError sqref="C10:G32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F72"/>
  <sheetViews>
    <sheetView zoomScaleNormal="75" workbookViewId="0">
      <selection activeCell="AF17" sqref="AF17"/>
    </sheetView>
  </sheetViews>
  <sheetFormatPr defaultColWidth="8.85546875" defaultRowHeight="12.75" x14ac:dyDescent="0.2"/>
  <cols>
    <col min="1" max="1" width="12.140625" style="1" customWidth="1"/>
    <col min="2" max="2" width="10.140625" style="1" customWidth="1"/>
    <col min="3" max="4" width="7" style="1" customWidth="1"/>
    <col min="5" max="5" width="8.7109375" style="1" customWidth="1"/>
    <col min="6" max="7" width="7" style="1" customWidth="1"/>
    <col min="8" max="8" width="8.7109375" style="1" customWidth="1"/>
    <col min="9" max="10" width="5.7109375" style="1" customWidth="1"/>
    <col min="11" max="11" width="9.42578125" style="1" hidden="1" customWidth="1"/>
    <col min="12" max="12" width="12.5703125" style="2" customWidth="1"/>
    <col min="13" max="13" width="5.28515625" style="2" customWidth="1"/>
    <col min="14" max="14" width="6.42578125" style="2" customWidth="1"/>
    <col min="15" max="15" width="4.85546875" style="2" customWidth="1"/>
    <col min="16" max="16" width="4.85546875" style="2" hidden="1" customWidth="1"/>
    <col min="17" max="17" width="5" style="2" hidden="1" customWidth="1"/>
    <col min="18" max="18" width="7.7109375" style="2" hidden="1" customWidth="1"/>
    <col min="19" max="19" width="9.140625" hidden="1" customWidth="1"/>
    <col min="20" max="20" width="6.140625" style="2" customWidth="1"/>
    <col min="21" max="23" width="4.140625" style="1" customWidth="1"/>
    <col min="24" max="24" width="5.5703125" style="1" customWidth="1"/>
    <col min="25" max="25" width="6.42578125" style="35" hidden="1" customWidth="1"/>
    <col min="26" max="27" width="5.28515625" style="1" customWidth="1"/>
    <col min="28" max="28" width="5" style="1" customWidth="1"/>
    <col min="29" max="29" width="5" style="1" bestFit="1" customWidth="1"/>
    <col min="30" max="16384" width="8.85546875" style="1"/>
  </cols>
  <sheetData>
    <row r="1" spans="1:29" ht="15" customHeight="1" x14ac:dyDescent="0.2">
      <c r="A1" s="128" t="s">
        <v>0</v>
      </c>
      <c r="B1" s="3"/>
      <c r="C1" s="4"/>
      <c r="D1" s="4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1"/>
      <c r="T1" s="4"/>
      <c r="U1" s="3"/>
      <c r="V1" s="3"/>
      <c r="W1" s="3"/>
      <c r="X1" s="3"/>
      <c r="Y1" s="3"/>
      <c r="Z1" s="3"/>
      <c r="AA1" s="3"/>
      <c r="AB1" s="3"/>
    </row>
    <row r="2" spans="1:29" ht="6.75" customHeight="1" x14ac:dyDescent="0.25">
      <c r="A2" s="5"/>
      <c r="B2" s="5"/>
      <c r="C2" s="5"/>
      <c r="D2" s="5"/>
      <c r="I2" s="6"/>
      <c r="J2" s="6"/>
      <c r="K2" s="6"/>
      <c r="S2" s="1"/>
      <c r="Y2" s="1"/>
    </row>
    <row r="3" spans="1:29" ht="18.75" x14ac:dyDescent="0.3">
      <c r="C3" s="107" t="s">
        <v>1</v>
      </c>
      <c r="D3" s="110">
        <f>your_name</f>
        <v>0</v>
      </c>
      <c r="E3" s="7"/>
      <c r="F3" s="7"/>
      <c r="G3" s="8"/>
      <c r="I3" s="107" t="s">
        <v>2</v>
      </c>
      <c r="J3" s="7"/>
      <c r="K3" s="7"/>
      <c r="L3" s="109">
        <f>your_department</f>
        <v>0</v>
      </c>
      <c r="M3" s="36"/>
      <c r="N3" s="36"/>
      <c r="O3" s="37"/>
      <c r="P3"/>
      <c r="Q3" s="1"/>
      <c r="R3" s="1"/>
      <c r="S3" s="1"/>
      <c r="T3" s="108" t="s">
        <v>3</v>
      </c>
      <c r="U3" s="130">
        <f>3+sheet_end_date_p06</f>
        <v>46167</v>
      </c>
      <c r="V3" s="38"/>
      <c r="W3" s="39"/>
      <c r="X3" s="108" t="s">
        <v>106</v>
      </c>
      <c r="Y3" s="40"/>
      <c r="Z3" s="130">
        <f>A32</f>
        <v>46192</v>
      </c>
      <c r="AA3" s="38"/>
      <c r="AB3" s="9"/>
    </row>
    <row r="4" spans="1:29" ht="6" customHeight="1" x14ac:dyDescent="0.2">
      <c r="A4" s="6"/>
      <c r="B4" s="6"/>
      <c r="L4" s="1"/>
      <c r="M4" s="1"/>
      <c r="N4" s="1"/>
      <c r="O4" s="1"/>
      <c r="P4"/>
      <c r="Q4" s="1"/>
      <c r="R4" s="1"/>
      <c r="S4" s="1"/>
      <c r="T4" s="1"/>
      <c r="Y4" s="6"/>
      <c r="Z4" s="11"/>
    </row>
    <row r="5" spans="1:29" ht="15.75" x14ac:dyDescent="0.25">
      <c r="D5" s="12"/>
      <c r="H5" s="5"/>
      <c r="I5" s="129" t="s">
        <v>4</v>
      </c>
      <c r="J5" s="13"/>
      <c r="K5" s="13"/>
      <c r="L5" s="15"/>
      <c r="M5" s="14"/>
      <c r="N5" s="41"/>
      <c r="O5"/>
      <c r="P5"/>
      <c r="S5" s="1"/>
      <c r="T5" s="189"/>
      <c r="Y5" s="1"/>
      <c r="AA5"/>
    </row>
    <row r="6" spans="1:29" ht="15.75" x14ac:dyDescent="0.25">
      <c r="C6" s="17"/>
      <c r="D6" s="18"/>
      <c r="E6" s="17"/>
      <c r="F6" s="17"/>
      <c r="H6" s="6"/>
      <c r="I6" s="111" t="s">
        <v>5</v>
      </c>
      <c r="J6" s="19"/>
      <c r="K6" s="19"/>
      <c r="L6" s="127">
        <f>std_hours</f>
        <v>7</v>
      </c>
      <c r="M6" s="141" t="s">
        <v>6</v>
      </c>
      <c r="N6" s="43"/>
      <c r="O6"/>
      <c r="P6"/>
      <c r="Q6" s="44"/>
      <c r="R6" s="44"/>
      <c r="S6" s="1"/>
      <c r="T6" s="184"/>
      <c r="V6" s="190"/>
      <c r="W6" s="191"/>
      <c r="X6" s="190"/>
      <c r="Y6" s="192"/>
      <c r="Z6" s="193"/>
      <c r="AA6" s="190"/>
      <c r="AB6"/>
    </row>
    <row r="7" spans="1:29" ht="6.75" customHeight="1" x14ac:dyDescent="0.25">
      <c r="A7" s="5"/>
      <c r="B7" s="5"/>
      <c r="H7" s="6"/>
      <c r="I7" s="6"/>
      <c r="J7" s="6"/>
      <c r="K7" s="6"/>
      <c r="Y7" s="10"/>
    </row>
    <row r="8" spans="1:29" ht="15.75" x14ac:dyDescent="0.25">
      <c r="A8" s="20"/>
      <c r="B8" s="20"/>
      <c r="C8" s="117" t="s">
        <v>7</v>
      </c>
      <c r="D8" s="118"/>
      <c r="E8" s="118"/>
      <c r="F8" s="119" t="s">
        <v>8</v>
      </c>
      <c r="G8" s="118"/>
      <c r="H8" s="21"/>
      <c r="I8" s="46" t="s">
        <v>59</v>
      </c>
      <c r="J8" s="21"/>
      <c r="K8" s="13"/>
      <c r="L8" s="22"/>
      <c r="M8" s="47" t="s">
        <v>9</v>
      </c>
      <c r="N8" s="48"/>
      <c r="O8" s="48"/>
      <c r="P8" s="52"/>
      <c r="Q8" s="15"/>
      <c r="R8" s="15"/>
      <c r="S8" s="15"/>
      <c r="T8" s="149"/>
      <c r="U8" s="125" t="s">
        <v>60</v>
      </c>
      <c r="V8" s="126"/>
      <c r="W8" s="116" t="s">
        <v>61</v>
      </c>
      <c r="X8" s="125"/>
      <c r="Y8" s="52" t="s">
        <v>10</v>
      </c>
      <c r="Z8" s="124" t="s">
        <v>11</v>
      </c>
      <c r="AA8" s="23"/>
      <c r="AB8" s="24"/>
    </row>
    <row r="9" spans="1:29" s="17" customFormat="1" ht="21.75" customHeight="1" x14ac:dyDescent="0.2">
      <c r="A9" s="121" t="s">
        <v>12</v>
      </c>
      <c r="B9" s="121" t="s">
        <v>13</v>
      </c>
      <c r="C9" s="121" t="s">
        <v>14</v>
      </c>
      <c r="D9" s="121" t="s">
        <v>15</v>
      </c>
      <c r="E9" s="121" t="s">
        <v>105</v>
      </c>
      <c r="F9" s="121" t="s">
        <v>14</v>
      </c>
      <c r="G9" s="121" t="s">
        <v>15</v>
      </c>
      <c r="H9" s="121" t="s">
        <v>105</v>
      </c>
      <c r="I9" s="121" t="s">
        <v>17</v>
      </c>
      <c r="J9" s="121" t="s">
        <v>18</v>
      </c>
      <c r="K9" s="121" t="s">
        <v>19</v>
      </c>
      <c r="L9" s="121" t="s">
        <v>129</v>
      </c>
      <c r="M9" s="121" t="s">
        <v>71</v>
      </c>
      <c r="N9" s="121" t="s">
        <v>20</v>
      </c>
      <c r="O9" s="121" t="s">
        <v>22</v>
      </c>
      <c r="P9" s="121" t="s">
        <v>62</v>
      </c>
      <c r="Q9" s="121" t="s">
        <v>63</v>
      </c>
      <c r="R9" s="121" t="s">
        <v>64</v>
      </c>
      <c r="S9" s="121" t="s">
        <v>65</v>
      </c>
      <c r="T9" s="121" t="s">
        <v>21</v>
      </c>
      <c r="U9" s="121" t="s">
        <v>17</v>
      </c>
      <c r="V9" s="121" t="s">
        <v>18</v>
      </c>
      <c r="W9" s="121" t="s">
        <v>17</v>
      </c>
      <c r="X9" s="121" t="s">
        <v>18</v>
      </c>
      <c r="Y9" s="121"/>
      <c r="Z9" s="121" t="s">
        <v>20</v>
      </c>
      <c r="AA9" s="121" t="s">
        <v>22</v>
      </c>
      <c r="AB9" s="122" t="s">
        <v>23</v>
      </c>
    </row>
    <row r="10" spans="1:29" s="89" customFormat="1" x14ac:dyDescent="0.2">
      <c r="A10" s="68">
        <f>U3</f>
        <v>46167</v>
      </c>
      <c r="B10" s="69" t="s">
        <v>24</v>
      </c>
      <c r="C10" s="70">
        <f>start_time</f>
        <v>0.375</v>
      </c>
      <c r="D10" s="70">
        <f>start_lunch</f>
        <v>0.52083333333333337</v>
      </c>
      <c r="E10" s="102">
        <f>D10-C10</f>
        <v>0.14583333333333337</v>
      </c>
      <c r="F10" s="70">
        <f>end_lunch</f>
        <v>0.5625</v>
      </c>
      <c r="G10" s="70">
        <f>end_time</f>
        <v>0.70833333333333337</v>
      </c>
      <c r="H10" s="71">
        <f>(G10-F10)</f>
        <v>0.14583333333333337</v>
      </c>
      <c r="I10" s="72">
        <f>HOUR(E10+H10)</f>
        <v>7</v>
      </c>
      <c r="J10" s="73">
        <f>MINUTE(E10+H10)</f>
        <v>0</v>
      </c>
      <c r="K10" s="74">
        <f>I10*60+J10</f>
        <v>420</v>
      </c>
      <c r="L10" s="132"/>
      <c r="M10" s="75"/>
      <c r="N10" s="76"/>
      <c r="O10" s="77"/>
      <c r="P10" s="78">
        <f>IF(ISNA(MATCH($M10,{2,3,4,5,6,7,10},0)),0,$Q10)</f>
        <v>0</v>
      </c>
      <c r="Q10" s="79">
        <f>(N10*60)+O10</f>
        <v>0</v>
      </c>
      <c r="R10" s="80">
        <f>K10+Q10</f>
        <v>420</v>
      </c>
      <c r="S10" s="81">
        <f>IF(K10=0,IF(M10=1,-mon_mins,0),R10-mon_mins)</f>
        <v>0</v>
      </c>
      <c r="T10" s="87"/>
      <c r="U10" s="83">
        <f>IF($S10&gt;0,TRUNC(($S10)/60),0)</f>
        <v>0</v>
      </c>
      <c r="V10" s="84">
        <f>IF($S10&gt;0,MOD(ABS($S10),60),0)</f>
        <v>0</v>
      </c>
      <c r="W10" s="83">
        <f t="shared" ref="W10:W20" si="0">IF($S10&lt;0,INT(ABS($S10)/60),0)</f>
        <v>0</v>
      </c>
      <c r="X10" s="84">
        <f t="shared" ref="X10:X20" si="1">IF($S10&lt;0,MOD(ABS($S10),60),0)</f>
        <v>0</v>
      </c>
      <c r="Y10" s="74">
        <f>IF(S10=0,Y6,Y6+S10)</f>
        <v>0</v>
      </c>
      <c r="Z10" s="85">
        <f>INT(ABS(Y10/60))</f>
        <v>0</v>
      </c>
      <c r="AA10" s="86">
        <f>MOD(ABS(Y10),60)</f>
        <v>0</v>
      </c>
      <c r="AB10" s="87" t="str">
        <f>IF(Y10 &lt;0,"DB","CR")</f>
        <v>CR</v>
      </c>
      <c r="AC10" s="88"/>
    </row>
    <row r="11" spans="1:29" s="89" customFormat="1" x14ac:dyDescent="0.2">
      <c r="A11" s="68">
        <f>A10+1</f>
        <v>46168</v>
      </c>
      <c r="B11" s="69" t="s">
        <v>25</v>
      </c>
      <c r="C11" s="70">
        <f>start_time</f>
        <v>0.375</v>
      </c>
      <c r="D11" s="70">
        <f>start_lunch</f>
        <v>0.52083333333333337</v>
      </c>
      <c r="E11" s="102">
        <f>D11-C11</f>
        <v>0.14583333333333337</v>
      </c>
      <c r="F11" s="70">
        <f>end_lunch</f>
        <v>0.5625</v>
      </c>
      <c r="G11" s="70">
        <f>end_time</f>
        <v>0.70833333333333337</v>
      </c>
      <c r="H11" s="71">
        <f>(G11-F11)</f>
        <v>0.14583333333333337</v>
      </c>
      <c r="I11" s="72">
        <f>HOUR(E11+H11)</f>
        <v>7</v>
      </c>
      <c r="J11" s="73">
        <f>MINUTE(E11+H11)</f>
        <v>0</v>
      </c>
      <c r="K11" s="74">
        <f>I11*60+J11</f>
        <v>420</v>
      </c>
      <c r="L11" s="67"/>
      <c r="M11" s="75"/>
      <c r="N11" s="76"/>
      <c r="O11" s="77"/>
      <c r="P11" s="78">
        <f>IF(ISNA(MATCH($M11,{2,3,4,5,6,7,10},0)),0,$Q11)</f>
        <v>0</v>
      </c>
      <c r="Q11" s="79">
        <f>(N11*60)+O11</f>
        <v>0</v>
      </c>
      <c r="R11" s="80">
        <f>K11+Q11</f>
        <v>420</v>
      </c>
      <c r="S11" s="81">
        <f>IF(K11=0,IF(M11=1,-tue_mins,0),R11-tue_mins)</f>
        <v>0</v>
      </c>
      <c r="T11" s="87"/>
      <c r="U11" s="83">
        <f>IF($S11&gt;0,TRUNC(($S11)/60),0)</f>
        <v>0</v>
      </c>
      <c r="V11" s="84">
        <f>IF($S11&gt;0,MOD(ABS($S11),60),0)</f>
        <v>0</v>
      </c>
      <c r="W11" s="83">
        <f t="shared" si="0"/>
        <v>0</v>
      </c>
      <c r="X11" s="84">
        <f t="shared" si="1"/>
        <v>0</v>
      </c>
      <c r="Y11" s="74">
        <f>IF(S11=0,Y10,Y10+S11)</f>
        <v>0</v>
      </c>
      <c r="Z11" s="85">
        <f>INT(ABS(Y11/60))</f>
        <v>0</v>
      </c>
      <c r="AA11" s="86">
        <f>MOD(ABS(Y11),60)</f>
        <v>0</v>
      </c>
      <c r="AB11" s="87" t="str">
        <f>IF(Y11 &lt;0,"DB","CR")</f>
        <v>CR</v>
      </c>
    </row>
    <row r="12" spans="1:29" s="89" customFormat="1" x14ac:dyDescent="0.2">
      <c r="A12" s="68">
        <f>A11+1</f>
        <v>46169</v>
      </c>
      <c r="B12" s="69" t="s">
        <v>26</v>
      </c>
      <c r="C12" s="70">
        <f>start_time</f>
        <v>0.375</v>
      </c>
      <c r="D12" s="70">
        <f>start_lunch</f>
        <v>0.52083333333333337</v>
      </c>
      <c r="E12" s="102">
        <f>D12-C12</f>
        <v>0.14583333333333337</v>
      </c>
      <c r="F12" s="70">
        <f>end_lunch</f>
        <v>0.5625</v>
      </c>
      <c r="G12" s="70">
        <f>end_time</f>
        <v>0.70833333333333337</v>
      </c>
      <c r="H12" s="71">
        <f>(G12-F12)</f>
        <v>0.14583333333333337</v>
      </c>
      <c r="I12" s="72">
        <f>HOUR(E12+H12)</f>
        <v>7</v>
      </c>
      <c r="J12" s="73">
        <f>MINUTE(E12+H12)</f>
        <v>0</v>
      </c>
      <c r="K12" s="74">
        <f>I12*60+J12</f>
        <v>420</v>
      </c>
      <c r="L12" s="67"/>
      <c r="M12" s="75"/>
      <c r="N12" s="76"/>
      <c r="O12" s="77"/>
      <c r="P12" s="78">
        <f>IF(ISNA(MATCH($M12,{2,3,4,5,6,7,10},0)),0,$Q12)</f>
        <v>0</v>
      </c>
      <c r="Q12" s="79">
        <f>(N12*60)+O12</f>
        <v>0</v>
      </c>
      <c r="R12" s="80">
        <f>K12+Q12</f>
        <v>420</v>
      </c>
      <c r="S12" s="81">
        <f>IF(K12=0,IF(M12=1,-wed_mins,0),R12-wed_mins)</f>
        <v>0</v>
      </c>
      <c r="T12" s="87"/>
      <c r="U12" s="83">
        <f>IF($S12&gt;0,TRUNC(($S12)/60),0)</f>
        <v>0</v>
      </c>
      <c r="V12" s="84">
        <f>IF($S12&gt;0,MOD(ABS($S12),60),0)</f>
        <v>0</v>
      </c>
      <c r="W12" s="83">
        <f t="shared" si="0"/>
        <v>0</v>
      </c>
      <c r="X12" s="84">
        <f t="shared" si="1"/>
        <v>0</v>
      </c>
      <c r="Y12" s="74">
        <f>IF(S12=0,Y11,Y11+S12)</f>
        <v>0</v>
      </c>
      <c r="Z12" s="85">
        <f>INT(ABS(Y12/60))</f>
        <v>0</v>
      </c>
      <c r="AA12" s="86">
        <f>MOD(ABS(Y12),60)</f>
        <v>0</v>
      </c>
      <c r="AB12" s="87" t="str">
        <f>IF(Y12 &lt;0,"DB","CR")</f>
        <v>CR</v>
      </c>
    </row>
    <row r="13" spans="1:29" s="89" customFormat="1" ht="12" customHeight="1" x14ac:dyDescent="0.2">
      <c r="A13" s="68">
        <f>A12+1</f>
        <v>46170</v>
      </c>
      <c r="B13" s="69" t="s">
        <v>27</v>
      </c>
      <c r="C13" s="70">
        <f>start_time</f>
        <v>0.375</v>
      </c>
      <c r="D13" s="70">
        <f>start_lunch</f>
        <v>0.52083333333333337</v>
      </c>
      <c r="E13" s="102">
        <f>D13-C13</f>
        <v>0.14583333333333337</v>
      </c>
      <c r="F13" s="70">
        <f>end_lunch</f>
        <v>0.5625</v>
      </c>
      <c r="G13" s="70">
        <f>end_time</f>
        <v>0.70833333333333337</v>
      </c>
      <c r="H13" s="71">
        <f>(G13-F13)</f>
        <v>0.14583333333333337</v>
      </c>
      <c r="I13" s="72">
        <f>HOUR(E13+H13)</f>
        <v>7</v>
      </c>
      <c r="J13" s="73">
        <f>MINUTE(E13+H13)</f>
        <v>0</v>
      </c>
      <c r="K13" s="74">
        <f>I13*60+J13</f>
        <v>420</v>
      </c>
      <c r="L13" s="67"/>
      <c r="M13" s="75"/>
      <c r="N13" s="76"/>
      <c r="O13" s="77"/>
      <c r="P13" s="78">
        <f>IF(ISNA(MATCH($M13,{2,3,4,5,6,7,10},0)),0,$Q13)</f>
        <v>0</v>
      </c>
      <c r="Q13" s="79">
        <f>(N13*60)+O13</f>
        <v>0</v>
      </c>
      <c r="R13" s="80">
        <f>K13+Q13</f>
        <v>420</v>
      </c>
      <c r="S13" s="81">
        <f>IF(K13=0,IF(M13=1,-thu_mins,0),R13-thu_mins)</f>
        <v>0</v>
      </c>
      <c r="T13" s="87"/>
      <c r="U13" s="83">
        <f>IF($S13&gt;0,TRUNC(($S13)/60),0)</f>
        <v>0</v>
      </c>
      <c r="V13" s="84">
        <f>IF($S13&gt;0,MOD(ABS($S13),60),0)</f>
        <v>0</v>
      </c>
      <c r="W13" s="83">
        <f t="shared" si="0"/>
        <v>0</v>
      </c>
      <c r="X13" s="84">
        <f t="shared" si="1"/>
        <v>0</v>
      </c>
      <c r="Y13" s="74">
        <f>IF(S13=0,Y12,Y12+S13)</f>
        <v>0</v>
      </c>
      <c r="Z13" s="85">
        <f>INT(ABS(Y13/60))</f>
        <v>0</v>
      </c>
      <c r="AA13" s="86">
        <f>MOD(ABS(Y13),60)</f>
        <v>0</v>
      </c>
      <c r="AB13" s="87" t="str">
        <f>IF(Y13 &lt;0,"DB","CR")</f>
        <v>CR</v>
      </c>
    </row>
    <row r="14" spans="1:29" s="89" customFormat="1" x14ac:dyDescent="0.2">
      <c r="A14" s="68">
        <f>A13+1</f>
        <v>46171</v>
      </c>
      <c r="B14" s="69" t="s">
        <v>28</v>
      </c>
      <c r="C14" s="70">
        <f>start_time</f>
        <v>0.375</v>
      </c>
      <c r="D14" s="70">
        <f>start_lunch</f>
        <v>0.52083333333333337</v>
      </c>
      <c r="E14" s="102">
        <f>D14-C14</f>
        <v>0.14583333333333337</v>
      </c>
      <c r="F14" s="70">
        <f>end_lunch</f>
        <v>0.5625</v>
      </c>
      <c r="G14" s="70">
        <f>end_time</f>
        <v>0.70833333333333337</v>
      </c>
      <c r="H14" s="71">
        <f>(G14-F14)</f>
        <v>0.14583333333333337</v>
      </c>
      <c r="I14" s="72">
        <f>HOUR(E14+H14)</f>
        <v>7</v>
      </c>
      <c r="J14" s="73">
        <f>MINUTE(E14+H14)</f>
        <v>0</v>
      </c>
      <c r="K14" s="74">
        <f>I14*60+J14</f>
        <v>420</v>
      </c>
      <c r="L14" s="100"/>
      <c r="M14" s="75"/>
      <c r="N14" s="76"/>
      <c r="O14" s="77"/>
      <c r="P14" s="78">
        <f>IF(ISNA(MATCH($M14,{2,3,4,5,6,7,10},0)),0,$Q14)</f>
        <v>0</v>
      </c>
      <c r="Q14" s="79">
        <f>(N14*60)+O14</f>
        <v>0</v>
      </c>
      <c r="R14" s="80">
        <f>K14+Q14</f>
        <v>420</v>
      </c>
      <c r="S14" s="81">
        <f>IF(K14=0,IF(M14=1,-fri_mins,0),R14-fri_mins)</f>
        <v>0</v>
      </c>
      <c r="T14" s="87"/>
      <c r="U14" s="83">
        <f>IF($S14&gt;0,TRUNC(($S14)/60),0)</f>
        <v>0</v>
      </c>
      <c r="V14" s="84">
        <f>IF($S14&gt;0,MOD(ABS($S14),60),0)</f>
        <v>0</v>
      </c>
      <c r="W14" s="83">
        <f t="shared" si="0"/>
        <v>0</v>
      </c>
      <c r="X14" s="84">
        <f t="shared" si="1"/>
        <v>0</v>
      </c>
      <c r="Y14" s="74">
        <f>IF(S14=0,Y13,Y13+S14)</f>
        <v>0</v>
      </c>
      <c r="Z14" s="85">
        <f>INT(ABS(Y14/60))</f>
        <v>0</v>
      </c>
      <c r="AA14" s="86">
        <f>MOD(ABS(Y14),60)</f>
        <v>0</v>
      </c>
      <c r="AB14" s="87" t="str">
        <f>IF(Y14 &lt;0,"DB","CR")</f>
        <v>CR</v>
      </c>
    </row>
    <row r="15" spans="1:29" s="89" customFormat="1" x14ac:dyDescent="0.2">
      <c r="A15" s="90"/>
      <c r="B15" s="91"/>
      <c r="C15" s="102"/>
      <c r="D15" s="102"/>
      <c r="E15" s="102"/>
      <c r="F15" s="102"/>
      <c r="G15" s="102"/>
      <c r="H15" s="71"/>
      <c r="I15" s="72"/>
      <c r="J15" s="73"/>
      <c r="K15" s="92"/>
      <c r="L15" s="143"/>
      <c r="M15" s="144"/>
      <c r="N15" s="145"/>
      <c r="O15" s="146"/>
      <c r="P15" s="93"/>
      <c r="Q15" s="79"/>
      <c r="R15" s="80"/>
      <c r="S15" s="81"/>
      <c r="T15" s="94"/>
      <c r="U15" s="83"/>
      <c r="V15" s="83"/>
      <c r="W15" s="83"/>
      <c r="X15" s="83"/>
      <c r="Y15" s="131"/>
      <c r="Z15" s="95"/>
      <c r="AA15" s="96"/>
      <c r="AB15" s="94"/>
    </row>
    <row r="16" spans="1:29" s="89" customFormat="1" x14ac:dyDescent="0.2">
      <c r="A16" s="68">
        <f>A14+3</f>
        <v>46174</v>
      </c>
      <c r="B16" s="69" t="s">
        <v>24</v>
      </c>
      <c r="C16" s="70">
        <f>start_time</f>
        <v>0.375</v>
      </c>
      <c r="D16" s="70">
        <f>start_lunch</f>
        <v>0.52083333333333337</v>
      </c>
      <c r="E16" s="102">
        <f>D16-C16</f>
        <v>0.14583333333333337</v>
      </c>
      <c r="F16" s="70">
        <f>end_lunch</f>
        <v>0.5625</v>
      </c>
      <c r="G16" s="70">
        <f>end_time</f>
        <v>0.70833333333333337</v>
      </c>
      <c r="H16" s="71">
        <f>(G16-F16)</f>
        <v>0.14583333333333337</v>
      </c>
      <c r="I16" s="72">
        <f>HOUR(E16+H16)</f>
        <v>7</v>
      </c>
      <c r="J16" s="73">
        <f>MINUTE(E16+H16)</f>
        <v>0</v>
      </c>
      <c r="K16" s="74">
        <f>I16*60+J16</f>
        <v>420</v>
      </c>
      <c r="L16" s="100"/>
      <c r="M16" s="75"/>
      <c r="N16" s="76"/>
      <c r="O16" s="77"/>
      <c r="P16" s="78">
        <f>IF(ISNA(MATCH($M16,{2,3,4,5,6,7,10},0)),0,$Q16)</f>
        <v>0</v>
      </c>
      <c r="Q16" s="79">
        <f>(N16*60)+O16</f>
        <v>0</v>
      </c>
      <c r="R16" s="80">
        <f>K16+Q16</f>
        <v>420</v>
      </c>
      <c r="S16" s="81">
        <f>IF(K16=0,IF(M16=1,-mon_mins2,0),R16-mon_mins2)</f>
        <v>0</v>
      </c>
      <c r="T16" s="87"/>
      <c r="U16" s="83">
        <f>IF($S16&gt;0,TRUNC(($S16)/60),0)</f>
        <v>0</v>
      </c>
      <c r="V16" s="84">
        <f>IF($S16&gt;0,MOD(ABS($S16),60),0)</f>
        <v>0</v>
      </c>
      <c r="W16" s="83">
        <f t="shared" si="0"/>
        <v>0</v>
      </c>
      <c r="X16" s="84">
        <f t="shared" si="1"/>
        <v>0</v>
      </c>
      <c r="Y16" s="74">
        <f>IF(S16=0,Y14,Y14+S16)</f>
        <v>0</v>
      </c>
      <c r="Z16" s="85">
        <f>INT(ABS(Y16/60))</f>
        <v>0</v>
      </c>
      <c r="AA16" s="86">
        <f>MOD(ABS(Y16),60)</f>
        <v>0</v>
      </c>
      <c r="AB16" s="87" t="str">
        <f>IF(Y16 &lt;0,"DB","CR")</f>
        <v>CR</v>
      </c>
    </row>
    <row r="17" spans="1:28" s="89" customFormat="1" x14ac:dyDescent="0.2">
      <c r="A17" s="68">
        <f>A16+1</f>
        <v>46175</v>
      </c>
      <c r="B17" s="69" t="s">
        <v>25</v>
      </c>
      <c r="C17" s="70">
        <f>start_time</f>
        <v>0.375</v>
      </c>
      <c r="D17" s="70">
        <f>start_lunch</f>
        <v>0.52083333333333337</v>
      </c>
      <c r="E17" s="102">
        <f>D17-C17</f>
        <v>0.14583333333333337</v>
      </c>
      <c r="F17" s="70">
        <f>end_lunch</f>
        <v>0.5625</v>
      </c>
      <c r="G17" s="70">
        <f>end_time</f>
        <v>0.70833333333333337</v>
      </c>
      <c r="H17" s="71">
        <f>(G17-F17)</f>
        <v>0.14583333333333337</v>
      </c>
      <c r="I17" s="72">
        <f>HOUR(E17+H17)</f>
        <v>7</v>
      </c>
      <c r="J17" s="73">
        <f>MINUTE(E17+H17)</f>
        <v>0</v>
      </c>
      <c r="K17" s="74">
        <f>I17*60+J17</f>
        <v>420</v>
      </c>
      <c r="L17" s="67"/>
      <c r="M17" s="75"/>
      <c r="N17" s="76"/>
      <c r="O17" s="77"/>
      <c r="P17" s="78">
        <f>IF(ISNA(MATCH($M17,{2,3,4,5,6,7,10},0)),0,$Q17)</f>
        <v>0</v>
      </c>
      <c r="Q17" s="79">
        <f>(N17*60)+O17</f>
        <v>0</v>
      </c>
      <c r="R17" s="80">
        <f>K17+Q17</f>
        <v>420</v>
      </c>
      <c r="S17" s="81">
        <f>IF(K17=0,IF(M17=1,-tue_mins2,0),R17-tue_mins2)</f>
        <v>0</v>
      </c>
      <c r="T17" s="87"/>
      <c r="U17" s="83">
        <f>IF($S17&gt;0,TRUNC(($S17)/60),0)</f>
        <v>0</v>
      </c>
      <c r="V17" s="84">
        <f>IF($S17&gt;0,MOD(ABS($S17),60),0)</f>
        <v>0</v>
      </c>
      <c r="W17" s="83">
        <f t="shared" si="0"/>
        <v>0</v>
      </c>
      <c r="X17" s="84">
        <f t="shared" si="1"/>
        <v>0</v>
      </c>
      <c r="Y17" s="74">
        <f>IF(S17=0,Y16,Y16+S17)</f>
        <v>0</v>
      </c>
      <c r="Z17" s="85">
        <f>INT(ABS(Y17/60))</f>
        <v>0</v>
      </c>
      <c r="AA17" s="86">
        <f>MOD(ABS(Y17),60)</f>
        <v>0</v>
      </c>
      <c r="AB17" s="87" t="str">
        <f>IF(Y17 &lt;0,"DB","CR")</f>
        <v>CR</v>
      </c>
    </row>
    <row r="18" spans="1:28" s="89" customFormat="1" x14ac:dyDescent="0.2">
      <c r="A18" s="68">
        <f>A17+1</f>
        <v>46176</v>
      </c>
      <c r="B18" s="69" t="s">
        <v>26</v>
      </c>
      <c r="C18" s="70">
        <f>start_time</f>
        <v>0.375</v>
      </c>
      <c r="D18" s="70">
        <f>start_lunch</f>
        <v>0.52083333333333337</v>
      </c>
      <c r="E18" s="102">
        <f>D18-C18</f>
        <v>0.14583333333333337</v>
      </c>
      <c r="F18" s="70">
        <f>end_lunch</f>
        <v>0.5625</v>
      </c>
      <c r="G18" s="70">
        <f>end_time</f>
        <v>0.70833333333333337</v>
      </c>
      <c r="H18" s="71">
        <f>(G18-F18)</f>
        <v>0.14583333333333337</v>
      </c>
      <c r="I18" s="72">
        <f>HOUR(E18+H18)</f>
        <v>7</v>
      </c>
      <c r="J18" s="73">
        <f>MINUTE(E18+H18)</f>
        <v>0</v>
      </c>
      <c r="K18" s="74">
        <f>I18*60+J18</f>
        <v>420</v>
      </c>
      <c r="L18" s="67"/>
      <c r="M18" s="75"/>
      <c r="N18" s="76"/>
      <c r="O18" s="77"/>
      <c r="P18" s="78">
        <f>IF(ISNA(MATCH($M18,{2,3,4,5,6,7,10},0)),0,$Q18)</f>
        <v>0</v>
      </c>
      <c r="Q18" s="79">
        <f>(N18*60)+O18</f>
        <v>0</v>
      </c>
      <c r="R18" s="80">
        <f>K18+Q18</f>
        <v>420</v>
      </c>
      <c r="S18" s="81">
        <f>IF(K18=0,IF(M18=1,-wed_mins2,0),R18-wed_mins2)</f>
        <v>0</v>
      </c>
      <c r="T18" s="87"/>
      <c r="U18" s="83">
        <f>IF($S18&gt;0,TRUNC(($S18)/60),0)</f>
        <v>0</v>
      </c>
      <c r="V18" s="84">
        <f>IF($S18&gt;0,MOD(ABS($S18),60),0)</f>
        <v>0</v>
      </c>
      <c r="W18" s="83">
        <f t="shared" si="0"/>
        <v>0</v>
      </c>
      <c r="X18" s="84">
        <f t="shared" si="1"/>
        <v>0</v>
      </c>
      <c r="Y18" s="74">
        <f>IF(S18=0,Y17,Y17+S18)</f>
        <v>0</v>
      </c>
      <c r="Z18" s="85">
        <f>INT(ABS(Y18/60))</f>
        <v>0</v>
      </c>
      <c r="AA18" s="86">
        <f>MOD(ABS(Y18),60)</f>
        <v>0</v>
      </c>
      <c r="AB18" s="87" t="str">
        <f>IF(Y18 &lt;0,"DB","CR")</f>
        <v>CR</v>
      </c>
    </row>
    <row r="19" spans="1:28" s="89" customFormat="1" x14ac:dyDescent="0.2">
      <c r="A19" s="68">
        <f>A18+1</f>
        <v>46177</v>
      </c>
      <c r="B19" s="69" t="s">
        <v>27</v>
      </c>
      <c r="C19" s="70">
        <f>start_time</f>
        <v>0.375</v>
      </c>
      <c r="D19" s="70">
        <f>start_lunch</f>
        <v>0.52083333333333337</v>
      </c>
      <c r="E19" s="102">
        <f>D19-C19</f>
        <v>0.14583333333333337</v>
      </c>
      <c r="F19" s="70">
        <f>end_lunch</f>
        <v>0.5625</v>
      </c>
      <c r="G19" s="70">
        <f>end_time</f>
        <v>0.70833333333333337</v>
      </c>
      <c r="H19" s="71">
        <f>(G19-F19)</f>
        <v>0.14583333333333337</v>
      </c>
      <c r="I19" s="72">
        <f>HOUR(E19+H19)</f>
        <v>7</v>
      </c>
      <c r="J19" s="73">
        <f>MINUTE(E19+H19)</f>
        <v>0</v>
      </c>
      <c r="K19" s="74">
        <f>I19*60+J19</f>
        <v>420</v>
      </c>
      <c r="L19" s="67"/>
      <c r="M19" s="75"/>
      <c r="N19" s="76"/>
      <c r="O19" s="77"/>
      <c r="P19" s="78">
        <f>IF(ISNA(MATCH($M19,{2,3,4,5,6,7,10},0)),0,$Q19)</f>
        <v>0</v>
      </c>
      <c r="Q19" s="79">
        <f>(N19*60)+O19</f>
        <v>0</v>
      </c>
      <c r="R19" s="80">
        <f>K19+Q19</f>
        <v>420</v>
      </c>
      <c r="S19" s="81">
        <f>IF(K19=0,IF(M19=1,-thu_mins2,0),R19-thu_mins2)</f>
        <v>0</v>
      </c>
      <c r="T19" s="87"/>
      <c r="U19" s="83">
        <f>IF($S19&gt;0,TRUNC(($S19)/60),0)</f>
        <v>0</v>
      </c>
      <c r="V19" s="84">
        <f>IF($S19&gt;0,MOD(ABS($S19),60),0)</f>
        <v>0</v>
      </c>
      <c r="W19" s="83">
        <f t="shared" si="0"/>
        <v>0</v>
      </c>
      <c r="X19" s="84">
        <f t="shared" si="1"/>
        <v>0</v>
      </c>
      <c r="Y19" s="74">
        <f>IF(S19=0,Y18,Y18+S19)</f>
        <v>0</v>
      </c>
      <c r="Z19" s="85">
        <f>INT(ABS(Y19/60))</f>
        <v>0</v>
      </c>
      <c r="AA19" s="86">
        <f>MOD(ABS(Y19),60)</f>
        <v>0</v>
      </c>
      <c r="AB19" s="87" t="str">
        <f>IF(Y19 &lt;0,"DB","CR")</f>
        <v>CR</v>
      </c>
    </row>
    <row r="20" spans="1:28" s="89" customFormat="1" x14ac:dyDescent="0.2">
      <c r="A20" s="68">
        <f>A19+1</f>
        <v>46178</v>
      </c>
      <c r="B20" s="69" t="s">
        <v>28</v>
      </c>
      <c r="C20" s="70">
        <f>start_time</f>
        <v>0.375</v>
      </c>
      <c r="D20" s="70">
        <f>start_lunch</f>
        <v>0.52083333333333337</v>
      </c>
      <c r="E20" s="102">
        <f>D20-C20</f>
        <v>0.14583333333333337</v>
      </c>
      <c r="F20" s="70">
        <f>end_lunch</f>
        <v>0.5625</v>
      </c>
      <c r="G20" s="70">
        <f>end_time</f>
        <v>0.70833333333333337</v>
      </c>
      <c r="H20" s="71">
        <f>(G20-F20)</f>
        <v>0.14583333333333337</v>
      </c>
      <c r="I20" s="72">
        <f>HOUR(E20+H20)</f>
        <v>7</v>
      </c>
      <c r="J20" s="73">
        <f>MINUTE(E20+H20)</f>
        <v>0</v>
      </c>
      <c r="K20" s="74">
        <f>I20*60+J20</f>
        <v>420</v>
      </c>
      <c r="L20" s="100"/>
      <c r="M20" s="75"/>
      <c r="N20" s="76"/>
      <c r="O20" s="77"/>
      <c r="P20" s="78">
        <f>IF(ISNA(MATCH($M20,{2,3,4,5,6,7,10},0)),0,$Q20)</f>
        <v>0</v>
      </c>
      <c r="Q20" s="79">
        <f>(N20*60)+O20</f>
        <v>0</v>
      </c>
      <c r="R20" s="80">
        <f>K20+Q20</f>
        <v>420</v>
      </c>
      <c r="S20" s="81">
        <f>IF(K20=0,IF(M20=1,-fri_mins2,0),R20-fri_mins2)</f>
        <v>0</v>
      </c>
      <c r="T20" s="87"/>
      <c r="U20" s="83">
        <f>IF($S20&gt;0,TRUNC(($S20)/60),0)</f>
        <v>0</v>
      </c>
      <c r="V20" s="84">
        <f>IF($S20&gt;0,MOD(ABS($S20),60),0)</f>
        <v>0</v>
      </c>
      <c r="W20" s="83">
        <f t="shared" si="0"/>
        <v>0</v>
      </c>
      <c r="X20" s="84">
        <f t="shared" si="1"/>
        <v>0</v>
      </c>
      <c r="Y20" s="74">
        <f>IF(S20=0,Y19,Y19+S20)</f>
        <v>0</v>
      </c>
      <c r="Z20" s="85">
        <f>INT(ABS(Y20/60))</f>
        <v>0</v>
      </c>
      <c r="AA20" s="86">
        <f>MOD(ABS(Y20),60)</f>
        <v>0</v>
      </c>
      <c r="AB20" s="87" t="str">
        <f>IF(Y20 &lt;0,"DB","CR")</f>
        <v>CR</v>
      </c>
    </row>
    <row r="21" spans="1:28" s="89" customFormat="1" x14ac:dyDescent="0.2">
      <c r="A21" s="90"/>
      <c r="B21" s="91"/>
      <c r="C21" s="102"/>
      <c r="D21" s="102"/>
      <c r="E21" s="102"/>
      <c r="F21" s="102"/>
      <c r="G21" s="102"/>
      <c r="H21" s="71"/>
      <c r="I21" s="72"/>
      <c r="J21" s="73"/>
      <c r="K21" s="92"/>
      <c r="L21" s="144"/>
      <c r="M21" s="144"/>
      <c r="N21" s="145"/>
      <c r="O21" s="146"/>
      <c r="P21" s="93"/>
      <c r="Q21" s="97"/>
      <c r="R21" s="97"/>
      <c r="S21" s="93"/>
      <c r="T21" s="94"/>
      <c r="U21" s="98"/>
      <c r="V21" s="99"/>
      <c r="W21" s="98"/>
      <c r="X21" s="98"/>
      <c r="Y21" s="131"/>
      <c r="Z21" s="95"/>
      <c r="AA21" s="96"/>
      <c r="AB21" s="94"/>
    </row>
    <row r="22" spans="1:28" s="89" customFormat="1" x14ac:dyDescent="0.2">
      <c r="A22" s="68">
        <f>A20+3</f>
        <v>46181</v>
      </c>
      <c r="B22" s="69" t="s">
        <v>24</v>
      </c>
      <c r="C22" s="70"/>
      <c r="D22" s="70"/>
      <c r="E22" s="102">
        <f>D22-C22</f>
        <v>0</v>
      </c>
      <c r="F22" s="70"/>
      <c r="G22" s="70"/>
      <c r="H22" s="71">
        <f>(G22-F22)</f>
        <v>0</v>
      </c>
      <c r="I22" s="72">
        <f>HOUR(E22+H22)</f>
        <v>0</v>
      </c>
      <c r="J22" s="73">
        <f>MINUTE(E22+H22)</f>
        <v>0</v>
      </c>
      <c r="K22" s="74">
        <f>I22*60+J22</f>
        <v>0</v>
      </c>
      <c r="L22" s="67" t="s">
        <v>112</v>
      </c>
      <c r="M22" s="75">
        <v>8</v>
      </c>
      <c r="N22" s="76">
        <v>7</v>
      </c>
      <c r="O22" s="77"/>
      <c r="P22" s="78">
        <f>IF(ISNA(MATCH($M22,{2,3,4,5,6,7,10},0)),0,$Q22)</f>
        <v>0</v>
      </c>
      <c r="Q22" s="79">
        <f>(N22*60)+O22</f>
        <v>420</v>
      </c>
      <c r="R22" s="80">
        <f>K22+Q22</f>
        <v>420</v>
      </c>
      <c r="S22" s="81">
        <f>IF(K22=0,IF(M22=1,-mon_mins,0),R22-mon_mins)</f>
        <v>0</v>
      </c>
      <c r="T22" s="87"/>
      <c r="U22" s="83">
        <f>IF($S22&gt;0,TRUNC(($S22)/60),0)</f>
        <v>0</v>
      </c>
      <c r="V22" s="84">
        <f>IF($S22&gt;0,MOD(ABS($S22),60),0)</f>
        <v>0</v>
      </c>
      <c r="W22" s="83">
        <f>IF($S22&lt;0,INT(ABS($S22)/60),0)</f>
        <v>0</v>
      </c>
      <c r="X22" s="84">
        <f>IF($S22&lt;0,MOD(ABS($S22),60),0)</f>
        <v>0</v>
      </c>
      <c r="Y22" s="74">
        <f>IF(S22=0,Y20,Y20+S22)</f>
        <v>0</v>
      </c>
      <c r="Z22" s="85">
        <f>INT(ABS(Y22/60))</f>
        <v>0</v>
      </c>
      <c r="AA22" s="86">
        <f>MOD(ABS(Y22),60)</f>
        <v>0</v>
      </c>
      <c r="AB22" s="87" t="str">
        <f>IF(Y22 &lt;0,"DB","CR")</f>
        <v>CR</v>
      </c>
    </row>
    <row r="23" spans="1:28" s="89" customFormat="1" x14ac:dyDescent="0.2">
      <c r="A23" s="68">
        <f>A22+1</f>
        <v>46182</v>
      </c>
      <c r="B23" s="69" t="s">
        <v>25</v>
      </c>
      <c r="C23" s="70">
        <f>start_time</f>
        <v>0.375</v>
      </c>
      <c r="D23" s="70">
        <f>start_lunch</f>
        <v>0.52083333333333337</v>
      </c>
      <c r="E23" s="102">
        <f>D23-C23</f>
        <v>0.14583333333333337</v>
      </c>
      <c r="F23" s="70">
        <f>end_lunch</f>
        <v>0.5625</v>
      </c>
      <c r="G23" s="70">
        <f>end_time</f>
        <v>0.70833333333333337</v>
      </c>
      <c r="H23" s="71">
        <f>(G23-F23)</f>
        <v>0.14583333333333337</v>
      </c>
      <c r="I23" s="72">
        <f>HOUR(E23+H23)</f>
        <v>7</v>
      </c>
      <c r="J23" s="73">
        <f>MINUTE(E23+H23)</f>
        <v>0</v>
      </c>
      <c r="K23" s="74">
        <f>I23*60+J23</f>
        <v>420</v>
      </c>
      <c r="L23" s="67"/>
      <c r="M23" s="75"/>
      <c r="N23" s="76"/>
      <c r="O23" s="77"/>
      <c r="P23" s="78">
        <f>IF(ISNA(MATCH($M23,{2,3,4,5,6,7,10},0)),0,$Q23)</f>
        <v>0</v>
      </c>
      <c r="Q23" s="79">
        <f>(N23*60)+O23</f>
        <v>0</v>
      </c>
      <c r="R23" s="80">
        <f>K23+Q23</f>
        <v>420</v>
      </c>
      <c r="S23" s="81">
        <f>IF(K23=0,IF(M23=1,-tue_mins,0),R23-tue_mins)</f>
        <v>0</v>
      </c>
      <c r="T23" s="87"/>
      <c r="U23" s="83">
        <f>IF($S23&gt;0,TRUNC(($S23)/60),0)</f>
        <v>0</v>
      </c>
      <c r="V23" s="84">
        <f>IF($S23&gt;0,MOD(ABS($S23),60),0)</f>
        <v>0</v>
      </c>
      <c r="W23" s="83">
        <f>IF($S23&lt;0,INT(ABS($S23)/60),0)</f>
        <v>0</v>
      </c>
      <c r="X23" s="84">
        <f>IF($S23&lt;0,MOD(ABS($S23),60),0)</f>
        <v>0</v>
      </c>
      <c r="Y23" s="74">
        <f>IF(S23=0,Y22,Y22+S23)</f>
        <v>0</v>
      </c>
      <c r="Z23" s="85">
        <f>INT(ABS(Y23/60))</f>
        <v>0</v>
      </c>
      <c r="AA23" s="86">
        <f>MOD(ABS(Y23),60)</f>
        <v>0</v>
      </c>
      <c r="AB23" s="87" t="str">
        <f>IF(Y23 &lt;0,"DB","CR")</f>
        <v>CR</v>
      </c>
    </row>
    <row r="24" spans="1:28" s="89" customFormat="1" x14ac:dyDescent="0.2">
      <c r="A24" s="68">
        <f>A23+1</f>
        <v>46183</v>
      </c>
      <c r="B24" s="69" t="s">
        <v>26</v>
      </c>
      <c r="C24" s="70">
        <f>start_time</f>
        <v>0.375</v>
      </c>
      <c r="D24" s="70">
        <f>start_lunch</f>
        <v>0.52083333333333337</v>
      </c>
      <c r="E24" s="102">
        <f>D24-C24</f>
        <v>0.14583333333333337</v>
      </c>
      <c r="F24" s="70">
        <f>end_lunch</f>
        <v>0.5625</v>
      </c>
      <c r="G24" s="70">
        <f>end_time</f>
        <v>0.70833333333333337</v>
      </c>
      <c r="H24" s="71">
        <f>(G24-F24)</f>
        <v>0.14583333333333337</v>
      </c>
      <c r="I24" s="72">
        <f>HOUR(E24+H24)</f>
        <v>7</v>
      </c>
      <c r="J24" s="73">
        <f>MINUTE(E24+H24)</f>
        <v>0</v>
      </c>
      <c r="K24" s="74">
        <f>I24*60+J24</f>
        <v>420</v>
      </c>
      <c r="L24" s="67"/>
      <c r="M24" s="75"/>
      <c r="N24" s="76"/>
      <c r="O24" s="77"/>
      <c r="P24" s="78">
        <f>IF(ISNA(MATCH($M24,{2,3,4,5,6,7,10},0)),0,$Q24)</f>
        <v>0</v>
      </c>
      <c r="Q24" s="79">
        <f>(N24*60)+O24</f>
        <v>0</v>
      </c>
      <c r="R24" s="80">
        <f>K24+Q24</f>
        <v>420</v>
      </c>
      <c r="S24" s="81">
        <f>IF(K24=0,IF(M24=1,-wed_mins,0),R24-wed_mins)</f>
        <v>0</v>
      </c>
      <c r="T24" s="87"/>
      <c r="U24" s="83">
        <f>IF($S24&gt;0,TRUNC(($S24)/60),0)</f>
        <v>0</v>
      </c>
      <c r="V24" s="84">
        <f>IF($S24&gt;0,MOD(ABS($S24),60),0)</f>
        <v>0</v>
      </c>
      <c r="W24" s="83">
        <f>IF($S24&lt;0,INT(ABS($S24)/60),0)</f>
        <v>0</v>
      </c>
      <c r="X24" s="84">
        <f>IF($S24&lt;0,MOD(ABS($S24),60),0)</f>
        <v>0</v>
      </c>
      <c r="Y24" s="74">
        <f>IF(S24=0,Y23,Y23+S24)</f>
        <v>0</v>
      </c>
      <c r="Z24" s="85">
        <f>INT(ABS(Y24/60))</f>
        <v>0</v>
      </c>
      <c r="AA24" s="86">
        <f>MOD(ABS(Y24),60)</f>
        <v>0</v>
      </c>
      <c r="AB24" s="87" t="str">
        <f>IF(Y24 &lt;0,"DB","CR")</f>
        <v>CR</v>
      </c>
    </row>
    <row r="25" spans="1:28" s="89" customFormat="1" x14ac:dyDescent="0.2">
      <c r="A25" s="68">
        <f>A24+1</f>
        <v>46184</v>
      </c>
      <c r="B25" s="69" t="s">
        <v>27</v>
      </c>
      <c r="C25" s="70">
        <f>start_time</f>
        <v>0.375</v>
      </c>
      <c r="D25" s="70">
        <f>start_lunch</f>
        <v>0.52083333333333337</v>
      </c>
      <c r="E25" s="102">
        <f>D25-C25</f>
        <v>0.14583333333333337</v>
      </c>
      <c r="F25" s="70">
        <f>end_lunch</f>
        <v>0.5625</v>
      </c>
      <c r="G25" s="70">
        <f>end_time</f>
        <v>0.70833333333333337</v>
      </c>
      <c r="H25" s="71">
        <f>(G25-F25)</f>
        <v>0.14583333333333337</v>
      </c>
      <c r="I25" s="72">
        <f>HOUR(E25+H25)</f>
        <v>7</v>
      </c>
      <c r="J25" s="73">
        <f>MINUTE(E25+H25)</f>
        <v>0</v>
      </c>
      <c r="K25" s="74">
        <f>I25*60+J25</f>
        <v>420</v>
      </c>
      <c r="L25" s="67"/>
      <c r="M25" s="75"/>
      <c r="N25" s="76"/>
      <c r="O25" s="77"/>
      <c r="P25" s="78">
        <f>IF(ISNA(MATCH($M25,{2,3,4,5,6,7,10},0)),0,$Q25)</f>
        <v>0</v>
      </c>
      <c r="Q25" s="79">
        <f>(N25*60)+O25</f>
        <v>0</v>
      </c>
      <c r="R25" s="80">
        <f>K25+Q25</f>
        <v>420</v>
      </c>
      <c r="S25" s="81">
        <f>IF(K25=0,IF(M25=1,-thu_mins,0),R25-thu_mins)</f>
        <v>0</v>
      </c>
      <c r="T25" s="87"/>
      <c r="U25" s="83">
        <f>IF($S25&gt;0,TRUNC(($S25)/60),0)</f>
        <v>0</v>
      </c>
      <c r="V25" s="84">
        <f>IF($S25&gt;0,MOD(ABS($S25),60),0)</f>
        <v>0</v>
      </c>
      <c r="W25" s="83">
        <f>IF($S25&lt;0,INT(ABS($S25)/60),0)</f>
        <v>0</v>
      </c>
      <c r="X25" s="84">
        <f>IF($S25&lt;0,MOD(ABS($S25),60),0)</f>
        <v>0</v>
      </c>
      <c r="Y25" s="74">
        <f>IF(S25=0,Y24,Y24+S25)</f>
        <v>0</v>
      </c>
      <c r="Z25" s="85">
        <f>INT(ABS(Y25/60))</f>
        <v>0</v>
      </c>
      <c r="AA25" s="86">
        <f>MOD(ABS(Y25),60)</f>
        <v>0</v>
      </c>
      <c r="AB25" s="87" t="str">
        <f>IF(Y25 &lt;0,"DB","CR")</f>
        <v>CR</v>
      </c>
    </row>
    <row r="26" spans="1:28" s="89" customFormat="1" x14ac:dyDescent="0.2">
      <c r="A26" s="68">
        <f>A25+1</f>
        <v>46185</v>
      </c>
      <c r="B26" s="69" t="s">
        <v>28</v>
      </c>
      <c r="C26" s="70">
        <f>start_time</f>
        <v>0.375</v>
      </c>
      <c r="D26" s="70">
        <f>start_lunch</f>
        <v>0.52083333333333337</v>
      </c>
      <c r="E26" s="102">
        <f>D26-C26</f>
        <v>0.14583333333333337</v>
      </c>
      <c r="F26" s="70">
        <f>end_lunch</f>
        <v>0.5625</v>
      </c>
      <c r="G26" s="70">
        <f>end_time</f>
        <v>0.70833333333333337</v>
      </c>
      <c r="H26" s="71">
        <f>(G26-F26)</f>
        <v>0.14583333333333337</v>
      </c>
      <c r="I26" s="72">
        <f>HOUR(E26+H26)</f>
        <v>7</v>
      </c>
      <c r="J26" s="73">
        <f>MINUTE(E26+H26)</f>
        <v>0</v>
      </c>
      <c r="K26" s="74">
        <f>I26*60+J26</f>
        <v>420</v>
      </c>
      <c r="L26" s="100"/>
      <c r="M26" s="75"/>
      <c r="N26" s="76"/>
      <c r="O26" s="77"/>
      <c r="P26" s="78">
        <f>IF(ISNA(MATCH($M26,{2,3,4,5,6,7,10},0)),0,$Q26)</f>
        <v>0</v>
      </c>
      <c r="Q26" s="79">
        <f>(N26*60)+O26</f>
        <v>0</v>
      </c>
      <c r="R26" s="80">
        <f>K26+Q26</f>
        <v>420</v>
      </c>
      <c r="S26" s="81">
        <f>IF(K26=0,IF(M26=1,-fri_mins,0),R26-fri_mins)</f>
        <v>0</v>
      </c>
      <c r="T26" s="87"/>
      <c r="U26" s="83">
        <f>IF($S26&gt;0,TRUNC(($S26)/60),0)</f>
        <v>0</v>
      </c>
      <c r="V26" s="84">
        <f>IF($S26&gt;0,MOD(ABS($S26),60),0)</f>
        <v>0</v>
      </c>
      <c r="W26" s="83">
        <f>IF($S26&lt;0,INT(ABS($S26)/60),0)</f>
        <v>0</v>
      </c>
      <c r="X26" s="84">
        <f>IF($S26&lt;0,MOD(ABS($S26),60),0)</f>
        <v>0</v>
      </c>
      <c r="Y26" s="74">
        <f>IF(S26=0,Y25,Y25+S26)</f>
        <v>0</v>
      </c>
      <c r="Z26" s="85">
        <f>INT(ABS(Y26/60))</f>
        <v>0</v>
      </c>
      <c r="AA26" s="86">
        <f>MOD(ABS(Y26),60)</f>
        <v>0</v>
      </c>
      <c r="AB26" s="87" t="str">
        <f>IF(Y26 &lt;0,"DB","CR")</f>
        <v>CR</v>
      </c>
    </row>
    <row r="27" spans="1:28" s="89" customFormat="1" x14ac:dyDescent="0.2">
      <c r="A27" s="90"/>
      <c r="B27" s="91"/>
      <c r="C27" s="102"/>
      <c r="D27" s="102"/>
      <c r="E27" s="102"/>
      <c r="F27" s="102"/>
      <c r="G27" s="102"/>
      <c r="H27" s="71"/>
      <c r="I27" s="72"/>
      <c r="J27" s="73"/>
      <c r="K27" s="92"/>
      <c r="L27" s="143"/>
      <c r="M27" s="144"/>
      <c r="N27" s="145"/>
      <c r="O27" s="148"/>
      <c r="P27" s="93"/>
      <c r="Q27" s="97"/>
      <c r="R27" s="97"/>
      <c r="S27" s="101"/>
      <c r="T27" s="94"/>
      <c r="U27" s="98"/>
      <c r="V27" s="99"/>
      <c r="W27" s="98"/>
      <c r="X27" s="98"/>
      <c r="Y27" s="131"/>
      <c r="Z27" s="95"/>
      <c r="AA27" s="96"/>
      <c r="AB27" s="94"/>
    </row>
    <row r="28" spans="1:28" s="89" customFormat="1" x14ac:dyDescent="0.2">
      <c r="A28" s="68">
        <f>A26+3</f>
        <v>46188</v>
      </c>
      <c r="B28" s="69" t="s">
        <v>24</v>
      </c>
      <c r="C28" s="70">
        <f>start_time</f>
        <v>0.375</v>
      </c>
      <c r="D28" s="70">
        <f>start_lunch</f>
        <v>0.52083333333333337</v>
      </c>
      <c r="E28" s="102">
        <f>D28-C28</f>
        <v>0.14583333333333337</v>
      </c>
      <c r="F28" s="70">
        <f>end_lunch</f>
        <v>0.5625</v>
      </c>
      <c r="G28" s="70">
        <f>end_time</f>
        <v>0.70833333333333337</v>
      </c>
      <c r="H28" s="71">
        <f>(G28-F28)</f>
        <v>0.14583333333333337</v>
      </c>
      <c r="I28" s="72">
        <f>HOUR(E28+H28)</f>
        <v>7</v>
      </c>
      <c r="J28" s="73">
        <f>MINUTE(E28+H28)</f>
        <v>0</v>
      </c>
      <c r="K28" s="74">
        <f>I28*60+J28</f>
        <v>420</v>
      </c>
      <c r="L28" s="67"/>
      <c r="M28" s="75"/>
      <c r="N28" s="76"/>
      <c r="O28" s="77"/>
      <c r="P28" s="78">
        <f>IF(ISNA(MATCH($M28,{2,3,4,5,6,7,10},0)),0,$Q28)</f>
        <v>0</v>
      </c>
      <c r="Q28" s="79">
        <f>(N28*60)+O28</f>
        <v>0</v>
      </c>
      <c r="R28" s="80">
        <f>K28+Q28</f>
        <v>420</v>
      </c>
      <c r="S28" s="81">
        <f>IF(K28=0,IF(M28=1,-mon_mins2,0),R28-mon_mins2)</f>
        <v>0</v>
      </c>
      <c r="T28" s="87"/>
      <c r="U28" s="83">
        <f>IF($S28&gt;0,TRUNC(($S28)/60),0)</f>
        <v>0</v>
      </c>
      <c r="V28" s="84">
        <f>IF($S28&gt;0,MOD(ABS($S28),60),0)</f>
        <v>0</v>
      </c>
      <c r="W28" s="83">
        <f>IF($S28&lt;0,INT(ABS($S28)/60),0)</f>
        <v>0</v>
      </c>
      <c r="X28" s="84">
        <f>IF($S28&lt;0,MOD(ABS($S28),60),0)</f>
        <v>0</v>
      </c>
      <c r="Y28" s="74">
        <f>IF(S28=0,Y26,Y26+S28)</f>
        <v>0</v>
      </c>
      <c r="Z28" s="85">
        <f t="shared" ref="Z28:Z33" si="2">INT(ABS(Y28/60))</f>
        <v>0</v>
      </c>
      <c r="AA28" s="86">
        <f t="shared" ref="AA28:AA33" si="3">MOD(ABS(Y28),60)</f>
        <v>0</v>
      </c>
      <c r="AB28" s="87" t="str">
        <f t="shared" ref="AB28:AB33" si="4">IF(Y28 &lt;0,"DB","CR")</f>
        <v>CR</v>
      </c>
    </row>
    <row r="29" spans="1:28" s="89" customFormat="1" x14ac:dyDescent="0.2">
      <c r="A29" s="68">
        <f>A28+1</f>
        <v>46189</v>
      </c>
      <c r="B29" s="69" t="s">
        <v>25</v>
      </c>
      <c r="C29" s="70">
        <f>start_time</f>
        <v>0.375</v>
      </c>
      <c r="D29" s="70">
        <f>start_lunch</f>
        <v>0.52083333333333337</v>
      </c>
      <c r="E29" s="102">
        <f>D29-C29</f>
        <v>0.14583333333333337</v>
      </c>
      <c r="F29" s="70">
        <f>end_lunch</f>
        <v>0.5625</v>
      </c>
      <c r="G29" s="70">
        <f>end_time</f>
        <v>0.70833333333333337</v>
      </c>
      <c r="H29" s="71">
        <f>(G29-F29)</f>
        <v>0.14583333333333337</v>
      </c>
      <c r="I29" s="72">
        <f>HOUR(E29+H29)</f>
        <v>7</v>
      </c>
      <c r="J29" s="73">
        <f>MINUTE(E29+H29)</f>
        <v>0</v>
      </c>
      <c r="K29" s="74">
        <f>I29*60+J29</f>
        <v>420</v>
      </c>
      <c r="L29" s="67"/>
      <c r="M29" s="75"/>
      <c r="N29" s="76"/>
      <c r="O29" s="77"/>
      <c r="P29" s="78">
        <f>IF(ISNA(MATCH($M29,{2,3,4,5,6,7,10},0)),0,$Q29)</f>
        <v>0</v>
      </c>
      <c r="Q29" s="79">
        <f>(N29*60)+O29</f>
        <v>0</v>
      </c>
      <c r="R29" s="80">
        <f>K29+Q29</f>
        <v>420</v>
      </c>
      <c r="S29" s="81">
        <f>IF(K29=0,IF(M29=1,-tue_mins2,0),R29-tue_mins2)</f>
        <v>0</v>
      </c>
      <c r="T29" s="87"/>
      <c r="U29" s="83">
        <f>IF($S29&gt;0,TRUNC(($S29)/60),0)</f>
        <v>0</v>
      </c>
      <c r="V29" s="84">
        <f>IF($S29&gt;0,MOD(ABS($S29),60),0)</f>
        <v>0</v>
      </c>
      <c r="W29" s="83">
        <f>IF($S29&lt;0,INT(ABS($S29)/60),0)</f>
        <v>0</v>
      </c>
      <c r="X29" s="84">
        <f>IF($S29&lt;0,MOD(ABS($S29),60),0)</f>
        <v>0</v>
      </c>
      <c r="Y29" s="74">
        <f>IF(S29=0,Y28,Y28+S29)</f>
        <v>0</v>
      </c>
      <c r="Z29" s="85">
        <f t="shared" si="2"/>
        <v>0</v>
      </c>
      <c r="AA29" s="86">
        <f t="shared" si="3"/>
        <v>0</v>
      </c>
      <c r="AB29" s="87" t="str">
        <f t="shared" si="4"/>
        <v>CR</v>
      </c>
    </row>
    <row r="30" spans="1:28" s="89" customFormat="1" x14ac:dyDescent="0.2">
      <c r="A30" s="68">
        <f>A29+1</f>
        <v>46190</v>
      </c>
      <c r="B30" s="69" t="s">
        <v>26</v>
      </c>
      <c r="C30" s="70">
        <f>start_time</f>
        <v>0.375</v>
      </c>
      <c r="D30" s="70">
        <f>start_lunch</f>
        <v>0.52083333333333337</v>
      </c>
      <c r="E30" s="102">
        <f>D30-C30</f>
        <v>0.14583333333333337</v>
      </c>
      <c r="F30" s="70">
        <f>end_lunch</f>
        <v>0.5625</v>
      </c>
      <c r="G30" s="70">
        <f>end_time</f>
        <v>0.70833333333333337</v>
      </c>
      <c r="H30" s="71">
        <f>(G30-F30)</f>
        <v>0.14583333333333337</v>
      </c>
      <c r="I30" s="72">
        <f>HOUR(E30+H30)</f>
        <v>7</v>
      </c>
      <c r="J30" s="73">
        <f>MINUTE(E30+H30)</f>
        <v>0</v>
      </c>
      <c r="K30" s="74">
        <f>I30*60+J30</f>
        <v>420</v>
      </c>
      <c r="L30" s="67"/>
      <c r="M30" s="75"/>
      <c r="N30" s="76"/>
      <c r="O30" s="77"/>
      <c r="P30" s="78">
        <f>IF(ISNA(MATCH($M30,{2,3,4,5,6,7,10},0)),0,$Q30)</f>
        <v>0</v>
      </c>
      <c r="Q30" s="79">
        <f>(N30*60)+O30</f>
        <v>0</v>
      </c>
      <c r="R30" s="80">
        <f>K30+Q30</f>
        <v>420</v>
      </c>
      <c r="S30" s="81">
        <f>IF(K30=0,IF(M30=1,-wed_mins2,0),R30-wed_mins2)</f>
        <v>0</v>
      </c>
      <c r="T30" s="87"/>
      <c r="U30" s="83">
        <f>IF($S30&gt;0,TRUNC(($S30)/60),0)</f>
        <v>0</v>
      </c>
      <c r="V30" s="84">
        <f>IF($S30&gt;0,MOD(ABS($S30),60),0)</f>
        <v>0</v>
      </c>
      <c r="W30" s="83">
        <f>IF($S30&lt;0,INT(ABS($S30)/60),0)</f>
        <v>0</v>
      </c>
      <c r="X30" s="84">
        <f>IF($S30&lt;0,MOD(ABS($S30),60),0)</f>
        <v>0</v>
      </c>
      <c r="Y30" s="74">
        <f>IF(S30=0,Y29,Y29+S30)</f>
        <v>0</v>
      </c>
      <c r="Z30" s="85">
        <f t="shared" si="2"/>
        <v>0</v>
      </c>
      <c r="AA30" s="86">
        <f t="shared" si="3"/>
        <v>0</v>
      </c>
      <c r="AB30" s="87" t="str">
        <f t="shared" si="4"/>
        <v>CR</v>
      </c>
    </row>
    <row r="31" spans="1:28" s="89" customFormat="1" x14ac:dyDescent="0.2">
      <c r="A31" s="68">
        <f>A30+1</f>
        <v>46191</v>
      </c>
      <c r="B31" s="69" t="s">
        <v>27</v>
      </c>
      <c r="C31" s="70">
        <f>start_time</f>
        <v>0.375</v>
      </c>
      <c r="D31" s="70">
        <f>start_lunch</f>
        <v>0.52083333333333337</v>
      </c>
      <c r="E31" s="102">
        <f>D31-C31</f>
        <v>0.14583333333333337</v>
      </c>
      <c r="F31" s="70">
        <f>end_lunch</f>
        <v>0.5625</v>
      </c>
      <c r="G31" s="70">
        <f>end_time</f>
        <v>0.70833333333333337</v>
      </c>
      <c r="H31" s="71">
        <f>(G31-F31)</f>
        <v>0.14583333333333337</v>
      </c>
      <c r="I31" s="72">
        <f>HOUR(E31+H31)</f>
        <v>7</v>
      </c>
      <c r="J31" s="73">
        <f>MINUTE(E31+H31)</f>
        <v>0</v>
      </c>
      <c r="K31" s="74">
        <f>I31*60+J31</f>
        <v>420</v>
      </c>
      <c r="L31" s="67"/>
      <c r="M31" s="75"/>
      <c r="N31" s="76"/>
      <c r="O31" s="77"/>
      <c r="P31" s="78">
        <f>IF(ISNA(MATCH($M31,{2,3,4,5,6,7,10},0)),0,$Q31)</f>
        <v>0</v>
      </c>
      <c r="Q31" s="79">
        <f>(N31*60)+O31</f>
        <v>0</v>
      </c>
      <c r="R31" s="80">
        <f>K31+Q31</f>
        <v>420</v>
      </c>
      <c r="S31" s="81">
        <f>IF(K31=0,IF(M31=1,-thu_mins2,0),R31-thu_mins2)</f>
        <v>0</v>
      </c>
      <c r="T31" s="87"/>
      <c r="U31" s="83">
        <f>IF($S31&gt;0,TRUNC(($S31)/60),0)</f>
        <v>0</v>
      </c>
      <c r="V31" s="84">
        <f>IF($S31&gt;0,MOD(ABS($S31),60),0)</f>
        <v>0</v>
      </c>
      <c r="W31" s="83">
        <f>IF($S31&lt;0,INT(ABS($S31)/60),0)</f>
        <v>0</v>
      </c>
      <c r="X31" s="84">
        <f>IF($S31&lt;0,MOD(ABS($S31),60),0)</f>
        <v>0</v>
      </c>
      <c r="Y31" s="74">
        <f>IF(S31=0,Y30,Y30+S31)</f>
        <v>0</v>
      </c>
      <c r="Z31" s="85">
        <f t="shared" si="2"/>
        <v>0</v>
      </c>
      <c r="AA31" s="86">
        <f t="shared" si="3"/>
        <v>0</v>
      </c>
      <c r="AB31" s="87" t="str">
        <f t="shared" si="4"/>
        <v>CR</v>
      </c>
    </row>
    <row r="32" spans="1:28" s="89" customFormat="1" x14ac:dyDescent="0.2">
      <c r="A32" s="68">
        <f>A31+1</f>
        <v>46192</v>
      </c>
      <c r="B32" s="69" t="s">
        <v>28</v>
      </c>
      <c r="C32" s="70">
        <f>start_time</f>
        <v>0.375</v>
      </c>
      <c r="D32" s="70">
        <f>start_lunch</f>
        <v>0.52083333333333337</v>
      </c>
      <c r="E32" s="102">
        <f>D32-C32</f>
        <v>0.14583333333333337</v>
      </c>
      <c r="F32" s="70">
        <f>end_lunch</f>
        <v>0.5625</v>
      </c>
      <c r="G32" s="70">
        <f>end_time</f>
        <v>0.70833333333333337</v>
      </c>
      <c r="H32" s="71">
        <f>(G32-F32)</f>
        <v>0.14583333333333337</v>
      </c>
      <c r="I32" s="72">
        <f>HOUR(E32+H32)</f>
        <v>7</v>
      </c>
      <c r="J32" s="73">
        <f>MINUTE(E32+H32)</f>
        <v>0</v>
      </c>
      <c r="K32" s="74">
        <f>I32*60+J32</f>
        <v>420</v>
      </c>
      <c r="L32" s="100"/>
      <c r="M32" s="75"/>
      <c r="N32" s="76"/>
      <c r="O32" s="77"/>
      <c r="P32" s="78">
        <f>IF(ISNA(MATCH($M32,{2,3,4,5,6,7,10},0)),0,$Q32)</f>
        <v>0</v>
      </c>
      <c r="Q32" s="79">
        <f>(N32*60)+O32</f>
        <v>0</v>
      </c>
      <c r="R32" s="80">
        <f>K32+Q32</f>
        <v>420</v>
      </c>
      <c r="S32" s="81">
        <f>IF(K32=0,IF(M32=1,-fri_mins2,0),R32-fri_mins2)</f>
        <v>0</v>
      </c>
      <c r="T32" s="87"/>
      <c r="U32" s="83">
        <f>IF($S32&gt;0,TRUNC(($S32)/60),0)</f>
        <v>0</v>
      </c>
      <c r="V32" s="84">
        <f>IF($S32&gt;0,MOD(ABS($S32),60),0)</f>
        <v>0</v>
      </c>
      <c r="W32" s="83">
        <f>IF($S32&lt;0,INT(ABS($S32)/60),0)</f>
        <v>0</v>
      </c>
      <c r="X32" s="84">
        <f>IF($S32&lt;0,MOD(ABS($S32),60),0)</f>
        <v>0</v>
      </c>
      <c r="Y32" s="74">
        <f>IF(S32=0,Y31,Y31+S32)</f>
        <v>0</v>
      </c>
      <c r="Z32" s="85">
        <f t="shared" si="2"/>
        <v>0</v>
      </c>
      <c r="AA32" s="86">
        <f t="shared" si="3"/>
        <v>0</v>
      </c>
      <c r="AB32" s="87" t="str">
        <f t="shared" si="4"/>
        <v>CR</v>
      </c>
    </row>
    <row r="33" spans="1:32" ht="15.75" x14ac:dyDescent="0.25">
      <c r="H33" s="104" t="s">
        <v>66</v>
      </c>
      <c r="I33" s="139">
        <f>SUM(I10:I32)+INT(SUM(J10:J32)/60)</f>
        <v>133</v>
      </c>
      <c r="J33" s="140">
        <f>(SUM(J10:J32)/60 -INT((SUM(J10:J32))/60))*60</f>
        <v>0</v>
      </c>
      <c r="K33" s="6"/>
      <c r="M33" s="104" t="s">
        <v>128</v>
      </c>
      <c r="N33" s="136">
        <f>SUM(N10:N32)+INT(SUM(O10:O32)/60)</f>
        <v>7</v>
      </c>
      <c r="O33" s="137">
        <f>(SUM(O10:O32)/60 -INT((SUM(O10:O32))/60))*60</f>
        <v>0</v>
      </c>
      <c r="P33" s="49"/>
      <c r="Q33" s="1"/>
      <c r="R33" s="1"/>
      <c r="T33"/>
      <c r="X33" s="104" t="s">
        <v>67</v>
      </c>
      <c r="Y33" s="64">
        <f>Y32-Y6</f>
        <v>0</v>
      </c>
      <c r="Z33" s="134">
        <f t="shared" si="2"/>
        <v>0</v>
      </c>
      <c r="AA33" s="135">
        <f t="shared" si="3"/>
        <v>0</v>
      </c>
      <c r="AB33" s="138" t="str">
        <f t="shared" si="4"/>
        <v>CR</v>
      </c>
      <c r="AE33" s="6"/>
      <c r="AF33" s="25"/>
    </row>
    <row r="34" spans="1:32" x14ac:dyDescent="0.2">
      <c r="A34" s="6"/>
      <c r="B34" s="6"/>
      <c r="C34" s="17"/>
      <c r="D34" s="17"/>
      <c r="E34" s="17"/>
      <c r="F34" s="17"/>
      <c r="G34" s="17"/>
      <c r="H34" s="26"/>
      <c r="I34" s="27"/>
      <c r="J34" s="17"/>
      <c r="K34" s="17"/>
      <c r="L34" s="29"/>
      <c r="M34" s="106" t="s">
        <v>104</v>
      </c>
      <c r="N34" s="85">
        <f>INT(ABS(SUM(P10:P32)/60))</f>
        <v>0</v>
      </c>
      <c r="O34" s="73">
        <f>MOD(ABS(SUM(P10:P32)),60)</f>
        <v>0</v>
      </c>
      <c r="P34" s="29"/>
      <c r="Q34" s="29"/>
      <c r="R34" s="29"/>
      <c r="T34" s="29"/>
      <c r="U34" s="17"/>
      <c r="V34" s="17"/>
      <c r="W34" s="17"/>
      <c r="X34" s="17"/>
      <c r="Y34" s="28"/>
      <c r="AA34" s="50"/>
      <c r="AB34" s="17"/>
    </row>
    <row r="35" spans="1:32" x14ac:dyDescent="0.2">
      <c r="A35" s="187" t="s">
        <v>115</v>
      </c>
      <c r="B35" s="13"/>
      <c r="C35" s="188"/>
      <c r="D35" s="31"/>
      <c r="E35" s="186" t="s">
        <v>120</v>
      </c>
      <c r="F35" s="30"/>
      <c r="G35" s="30"/>
      <c r="H35" s="112" t="s">
        <v>101</v>
      </c>
      <c r="I35" s="42"/>
      <c r="J35" s="16"/>
      <c r="K35" s="42"/>
      <c r="N35" s="1"/>
      <c r="O35" s="1"/>
      <c r="P35" s="1"/>
      <c r="Q35" s="1"/>
      <c r="R35" s="1"/>
      <c r="S35" s="1"/>
      <c r="T35" s="1"/>
      <c r="Y35" s="1"/>
    </row>
    <row r="36" spans="1:32" x14ac:dyDescent="0.2">
      <c r="A36" s="248" t="s">
        <v>33</v>
      </c>
      <c r="B36" s="249"/>
      <c r="C36" s="250"/>
      <c r="E36" s="113" t="s">
        <v>29</v>
      </c>
      <c r="F36" s="89"/>
      <c r="H36" s="113" t="s">
        <v>116</v>
      </c>
      <c r="J36" s="183"/>
      <c r="K36" s="89"/>
      <c r="L36" s="160"/>
      <c r="Y36" s="10"/>
    </row>
    <row r="37" spans="1:32" ht="15" x14ac:dyDescent="0.25">
      <c r="A37" s="31"/>
      <c r="B37" s="31"/>
      <c r="C37" s="31"/>
      <c r="E37" s="113" t="s">
        <v>122</v>
      </c>
      <c r="F37" s="89"/>
      <c r="H37" s="113" t="s">
        <v>117</v>
      </c>
      <c r="J37" s="183"/>
      <c r="K37" s="89"/>
      <c r="L37" s="103"/>
      <c r="M37" s="103" t="s">
        <v>111</v>
      </c>
      <c r="N37" s="103"/>
      <c r="O37" s="1"/>
      <c r="P37" s="1"/>
      <c r="Q37" s="1"/>
      <c r="R37"/>
      <c r="S37" s="1"/>
      <c r="T37" s="1"/>
      <c r="U37" s="66"/>
      <c r="V37" s="66"/>
      <c r="W37" s="89"/>
      <c r="Y37" s="103"/>
      <c r="Z37" s="66" t="s">
        <v>103</v>
      </c>
      <c r="AA37" s="66" t="s">
        <v>103</v>
      </c>
      <c r="AB37" s="89">
        <v>2026</v>
      </c>
    </row>
    <row r="38" spans="1:32" x14ac:dyDescent="0.2">
      <c r="A38" s="31"/>
      <c r="B38" s="31"/>
      <c r="C38" s="31"/>
      <c r="E38" s="113" t="s">
        <v>30</v>
      </c>
      <c r="F38" s="89"/>
      <c r="H38" s="113" t="s">
        <v>32</v>
      </c>
      <c r="J38" s="183"/>
      <c r="K38" s="89"/>
      <c r="L38" s="89"/>
      <c r="M38" s="1"/>
      <c r="N38" s="1"/>
      <c r="O38" s="1"/>
      <c r="P38" s="1"/>
      <c r="Q38" s="1"/>
      <c r="R38"/>
      <c r="S38" s="1"/>
      <c r="T38" s="1"/>
      <c r="W38" s="89"/>
      <c r="X38" s="63"/>
      <c r="Y38" s="1"/>
    </row>
    <row r="39" spans="1:32" ht="15" x14ac:dyDescent="0.25">
      <c r="A39"/>
      <c r="B39"/>
      <c r="C39"/>
      <c r="D39"/>
      <c r="E39" s="113" t="s">
        <v>31</v>
      </c>
      <c r="F39" s="89"/>
      <c r="G39" s="89"/>
      <c r="H39" s="113" t="s">
        <v>118</v>
      </c>
      <c r="J39" s="183"/>
      <c r="K39" s="89"/>
      <c r="L39" s="103"/>
      <c r="M39" s="103" t="s">
        <v>111</v>
      </c>
      <c r="N39" s="103"/>
      <c r="O39" s="33"/>
      <c r="P39" s="1"/>
      <c r="Q39" s="1"/>
      <c r="R39"/>
      <c r="S39" s="1"/>
      <c r="T39" s="1"/>
      <c r="U39" s="66"/>
      <c r="V39" s="66"/>
      <c r="W39" s="89"/>
      <c r="X39" s="63"/>
      <c r="Y39" s="103"/>
      <c r="Z39" s="66" t="s">
        <v>103</v>
      </c>
      <c r="AA39" s="66" t="s">
        <v>103</v>
      </c>
      <c r="AB39" s="89">
        <v>2026</v>
      </c>
    </row>
    <row r="40" spans="1:32" x14ac:dyDescent="0.2">
      <c r="A40" s="32"/>
      <c r="B40" s="32"/>
      <c r="C40" s="32"/>
      <c r="D40" s="32"/>
      <c r="E40" s="113" t="s">
        <v>99</v>
      </c>
      <c r="F40" s="89"/>
      <c r="H40" s="113" t="s">
        <v>121</v>
      </c>
      <c r="I40" s="89"/>
      <c r="J40" s="183"/>
      <c r="K40" s="89"/>
      <c r="L40" s="184"/>
      <c r="M40" s="31"/>
      <c r="N40" s="31"/>
      <c r="O40" s="31"/>
      <c r="P40" s="31"/>
      <c r="Q40" s="1"/>
      <c r="R40" s="1"/>
      <c r="T40" s="1"/>
      <c r="Y40" s="25"/>
      <c r="Z40" s="31"/>
      <c r="AA40" s="31"/>
      <c r="AB40" s="31"/>
      <c r="AC40" s="31"/>
    </row>
    <row r="41" spans="1:32" x14ac:dyDescent="0.2">
      <c r="E41" s="114" t="s">
        <v>100</v>
      </c>
      <c r="F41" s="115"/>
      <c r="G41" s="115"/>
      <c r="H41" s="114" t="s">
        <v>119</v>
      </c>
      <c r="I41" s="115"/>
      <c r="J41" s="185"/>
      <c r="K41" s="45"/>
      <c r="M41" s="89"/>
      <c r="N41" s="6"/>
      <c r="O41" s="89" t="s">
        <v>102</v>
      </c>
      <c r="P41" s="6"/>
      <c r="Q41" s="6"/>
      <c r="R41" s="6"/>
      <c r="T41" s="6"/>
      <c r="U41" s="2"/>
      <c r="V41" s="2"/>
      <c r="W41" s="34"/>
      <c r="Y41" s="1"/>
      <c r="Z41" s="6"/>
      <c r="AA41" s="89"/>
      <c r="AB41" s="6"/>
      <c r="AC41" s="6"/>
    </row>
    <row r="42" spans="1:32" x14ac:dyDescent="0.2">
      <c r="Y42" s="10"/>
    </row>
    <row r="43" spans="1:32" x14ac:dyDescent="0.2">
      <c r="L43" s="1"/>
      <c r="M43" s="1"/>
      <c r="N43" s="1"/>
      <c r="O43" s="1"/>
      <c r="P43" s="1"/>
      <c r="Y43" s="10"/>
    </row>
    <row r="44" spans="1:32" x14ac:dyDescent="0.2">
      <c r="Y44" s="10"/>
    </row>
    <row r="45" spans="1:32" x14ac:dyDescent="0.2">
      <c r="Y45" s="10"/>
    </row>
    <row r="46" spans="1:32" x14ac:dyDescent="0.2">
      <c r="Y46" s="10"/>
    </row>
    <row r="47" spans="1:32" x14ac:dyDescent="0.2">
      <c r="Y47" s="10"/>
    </row>
    <row r="48" spans="1:32" x14ac:dyDescent="0.2">
      <c r="Y48" s="10"/>
    </row>
    <row r="49" spans="25:25" x14ac:dyDescent="0.2">
      <c r="Y49" s="10"/>
    </row>
    <row r="50" spans="25:25" x14ac:dyDescent="0.2">
      <c r="Y50" s="10"/>
    </row>
    <row r="51" spans="25:25" x14ac:dyDescent="0.2">
      <c r="Y51" s="10"/>
    </row>
    <row r="52" spans="25:25" x14ac:dyDescent="0.2">
      <c r="Y52" s="10"/>
    </row>
    <row r="53" spans="25:25" x14ac:dyDescent="0.2">
      <c r="Y53" s="10"/>
    </row>
    <row r="54" spans="25:25" x14ac:dyDescent="0.2">
      <c r="Y54" s="10"/>
    </row>
    <row r="55" spans="25:25" x14ac:dyDescent="0.2">
      <c r="Y55" s="10"/>
    </row>
    <row r="56" spans="25:25" x14ac:dyDescent="0.2">
      <c r="Y56" s="10"/>
    </row>
    <row r="57" spans="25:25" x14ac:dyDescent="0.2">
      <c r="Y57" s="10"/>
    </row>
    <row r="58" spans="25:25" x14ac:dyDescent="0.2">
      <c r="Y58" s="10"/>
    </row>
    <row r="59" spans="25:25" x14ac:dyDescent="0.2">
      <c r="Y59" s="10"/>
    </row>
    <row r="60" spans="25:25" x14ac:dyDescent="0.2">
      <c r="Y60" s="10"/>
    </row>
    <row r="61" spans="25:25" x14ac:dyDescent="0.2">
      <c r="Y61" s="10"/>
    </row>
    <row r="62" spans="25:25" x14ac:dyDescent="0.2">
      <c r="Y62" s="10"/>
    </row>
    <row r="63" spans="25:25" x14ac:dyDescent="0.2">
      <c r="Y63" s="10"/>
    </row>
    <row r="64" spans="25:25" x14ac:dyDescent="0.2">
      <c r="Y64" s="10"/>
    </row>
    <row r="65" spans="25:25" x14ac:dyDescent="0.2">
      <c r="Y65" s="10"/>
    </row>
    <row r="66" spans="25:25" x14ac:dyDescent="0.2">
      <c r="Y66" s="10"/>
    </row>
    <row r="67" spans="25:25" x14ac:dyDescent="0.2">
      <c r="Y67" s="10"/>
    </row>
    <row r="68" spans="25:25" x14ac:dyDescent="0.2">
      <c r="Y68" s="10"/>
    </row>
    <row r="69" spans="25:25" x14ac:dyDescent="0.2">
      <c r="Y69" s="10"/>
    </row>
    <row r="70" spans="25:25" x14ac:dyDescent="0.2">
      <c r="Y70" s="10"/>
    </row>
    <row r="71" spans="25:25" x14ac:dyDescent="0.2">
      <c r="Y71" s="10"/>
    </row>
    <row r="72" spans="25:25" x14ac:dyDescent="0.2">
      <c r="Y72" s="10"/>
    </row>
  </sheetData>
  <sheetProtection algorithmName="SHA-512" hashValue="cni89KBiyQbByAj3sLz7P3lSbUVDX/iilZ/+cNxkZd7SaYlr3Zcacg34dMLKEkko0OM4oAnzq2pP4jQO5EM73Q==" saltValue="mEi7tASJtK4mLcl/YNL9tA==" spinCount="100000" sheet="1" objects="1" scenarios="1"/>
  <protectedRanges>
    <protectedRange sqref="N35 AC1:AC34 AC36 AC42:AC1048576" name="Range1"/>
  </protectedRanges>
  <mergeCells count="1">
    <mergeCell ref="A36:C36"/>
  </mergeCells>
  <phoneticPr fontId="0" type="noConversion"/>
  <dataValidations count="14">
    <dataValidation type="whole" allowBlank="1" showInputMessage="1" showErrorMessage="1" error="Enter a Leave Type number between 1 and 11" sqref="M15 M21 M27" xr:uid="{00000000-0002-0000-0800-000000000000}">
      <formula1>1</formula1>
      <formula2>11</formula2>
    </dataValidation>
    <dataValidation type="time" allowBlank="1" showInputMessage="1" showErrorMessage="1" error="Enter the time in 24 hour format, such as 14:00 for 2:00PM" sqref="C28:D32 C10:D14 C22:D26 F22:G26 F10:G14 F16:G20 C16:D20 F28:G32" xr:uid="{00000000-0002-0000-0800-000001000000}">
      <formula1>0</formula1>
      <formula2>0.999305555555556</formula2>
    </dataValidation>
    <dataValidation type="whole" allowBlank="1" showInputMessage="1" showErrorMessage="1" error="Enter a whole number between 0 and 59 minues inclusive." sqref="O16:O20 O22:O26 O28:O32 O10:O14" xr:uid="{00000000-0002-0000-0800-000002000000}">
      <formula1>0</formula1>
      <formula2>59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2 N10" xr:uid="{00000000-0002-0000-0800-000003000000}">
      <formula1>0</formula1>
      <formula2>mon_hrs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1 N23" xr:uid="{00000000-0002-0000-0800-000004000000}">
      <formula1>0</formula1>
      <formula2>tue_hrs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2 N24" xr:uid="{00000000-0002-0000-0800-000005000000}">
      <formula1>0</formula1>
      <formula2>wed_hrs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3 N25" xr:uid="{00000000-0002-0000-0800-000006000000}">
      <formula1>0</formula1>
      <formula2>thu_hrs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4 N26" xr:uid="{00000000-0002-0000-0800-000007000000}">
      <formula1>0</formula1>
      <formula2>fri_hrs</formula2>
    </dataValidation>
    <dataValidation type="whole" allowBlank="1" showErrorMessage="1" error="Enter a leave type between 1 and 13 inclusive. Refer to the *TYPE table at the bottom of this page." sqref="M10:M14 M16:M20 M22:M26 M28:M32" xr:uid="{00000000-0002-0000-0800-000008000000}">
      <formula1>1</formula1>
      <formula2>13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6 N28" xr:uid="{00000000-0002-0000-0800-000009000000}">
      <formula1>0</formula1>
      <formula2>mon_hrs2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7 N29" xr:uid="{00000000-0002-0000-0800-00000A000000}">
      <formula1>0</formula1>
      <formula2>tue_hrs2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8 N30" xr:uid="{00000000-0002-0000-0800-00000B000000}">
      <formula1>0</formula1>
      <formula2>wed_hrs2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19 N31" xr:uid="{00000000-0002-0000-0800-00000C000000}">
      <formula1>0</formula1>
      <formula2>thu_hrs2</formula2>
    </dataValidation>
    <dataValidation type="whole" allowBlank="1" showErrorMessage="1" error="Enter a whole number between 0 and your usual number of working hours for this day of the week. This is defined in the &quot;setup&quot; sheet. For full-time staff this is 7 hours." sqref="N20 N32" xr:uid="{00000000-0002-0000-0800-00000D000000}">
      <formula1>0</formula1>
      <formula2>fri_hrs2</formula2>
    </dataValidation>
  </dataValidations>
  <pageMargins left="0.27559055118110237" right="0.27559055118110237" top="0.47244094488188976" bottom="0.47244094488188976" header="0.51181102362204722" footer="0.51181102362204722"/>
  <pageSetup paperSize="9" scale="96" orientation="landscape" blackAndWhite="1" r:id="rId1"/>
  <headerFooter alignWithMargins="0"/>
  <ignoredErrors>
    <ignoredError sqref="C10:G3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66</vt:i4>
      </vt:variant>
    </vt:vector>
  </HeadingPairs>
  <TitlesOfParts>
    <vt:vector size="81" baseType="lpstr">
      <vt:lpstr>instructions</vt:lpstr>
      <vt:lpstr>setup</vt:lpstr>
      <vt:lpstr>P01</vt:lpstr>
      <vt:lpstr>P02</vt:lpstr>
      <vt:lpstr>P03</vt:lpstr>
      <vt:lpstr>P04</vt:lpstr>
      <vt:lpstr>P05</vt:lpstr>
      <vt:lpstr>P06</vt:lpstr>
      <vt:lpstr>P07</vt:lpstr>
      <vt:lpstr>P08</vt:lpstr>
      <vt:lpstr>P09</vt:lpstr>
      <vt:lpstr>P10</vt:lpstr>
      <vt:lpstr>P11</vt:lpstr>
      <vt:lpstr>P12</vt:lpstr>
      <vt:lpstr>P13</vt:lpstr>
      <vt:lpstr>end_lunch</vt:lpstr>
      <vt:lpstr>end_time</vt:lpstr>
      <vt:lpstr>first_monday</vt:lpstr>
      <vt:lpstr>fri_hrs</vt:lpstr>
      <vt:lpstr>fri_hrs2</vt:lpstr>
      <vt:lpstr>fri_mins</vt:lpstr>
      <vt:lpstr>fri_mins2</vt:lpstr>
      <vt:lpstr>hrs_4wks</vt:lpstr>
      <vt:lpstr>hrs_4wks2</vt:lpstr>
      <vt:lpstr>max_carry</vt:lpstr>
      <vt:lpstr>mins_4wks</vt:lpstr>
      <vt:lpstr>mon_hrs</vt:lpstr>
      <vt:lpstr>mon_hrs2</vt:lpstr>
      <vt:lpstr>mon_mins</vt:lpstr>
      <vt:lpstr>mon_mins2</vt:lpstr>
      <vt:lpstr>'P01'!Print_Area</vt:lpstr>
      <vt:lpstr>'P02'!Print_Area</vt:lpstr>
      <vt:lpstr>'P03'!Print_Area</vt:lpstr>
      <vt:lpstr>'P04'!Print_Area</vt:lpstr>
      <vt:lpstr>'P05'!Print_Area</vt:lpstr>
      <vt:lpstr>'P06'!Print_Area</vt:lpstr>
      <vt:lpstr>'P07'!Print_Area</vt:lpstr>
      <vt:lpstr>'P08'!Print_Area</vt:lpstr>
      <vt:lpstr>'P09'!Print_Area</vt:lpstr>
      <vt:lpstr>'P10'!Print_Area</vt:lpstr>
      <vt:lpstr>'P11'!Print_Area</vt:lpstr>
      <vt:lpstr>'P12'!Print_Area</vt:lpstr>
      <vt:lpstr>'P13'!Print_Area</vt:lpstr>
      <vt:lpstr>sheet_end_date_p01</vt:lpstr>
      <vt:lpstr>'P03'!sheet_end_date_p02</vt:lpstr>
      <vt:lpstr>'P04'!sheet_end_date_p02</vt:lpstr>
      <vt:lpstr>'P05'!sheet_end_date_p02</vt:lpstr>
      <vt:lpstr>sheet_end_date_p02</vt:lpstr>
      <vt:lpstr>'P04'!sheet_end_date_p03</vt:lpstr>
      <vt:lpstr>'P05'!sheet_end_date_p03</vt:lpstr>
      <vt:lpstr>sheet_end_date_p03</vt:lpstr>
      <vt:lpstr>'P05'!sheet_end_date_p04</vt:lpstr>
      <vt:lpstr>sheet_end_date_p04</vt:lpstr>
      <vt:lpstr>sheet_end_date_p05</vt:lpstr>
      <vt:lpstr>sheet_end_date_p06</vt:lpstr>
      <vt:lpstr>sheet_end_date_p07</vt:lpstr>
      <vt:lpstr>sheet_end_date_p08</vt:lpstr>
      <vt:lpstr>sheet_end_date_p09</vt:lpstr>
      <vt:lpstr>sheet_end_date_p10</vt:lpstr>
      <vt:lpstr>sheet_end_date_p11</vt:lpstr>
      <vt:lpstr>sheet_end_date_p12</vt:lpstr>
      <vt:lpstr>sheet_end_date_p13</vt:lpstr>
      <vt:lpstr>start_lunch</vt:lpstr>
      <vt:lpstr>start_time</vt:lpstr>
      <vt:lpstr>std_hours</vt:lpstr>
      <vt:lpstr>std_mins</vt:lpstr>
      <vt:lpstr>super</vt:lpstr>
      <vt:lpstr>thu_hrs</vt:lpstr>
      <vt:lpstr>thu_hrs2</vt:lpstr>
      <vt:lpstr>thu_mins</vt:lpstr>
      <vt:lpstr>thu_mins2</vt:lpstr>
      <vt:lpstr>tue_hrs</vt:lpstr>
      <vt:lpstr>tue_hrs2</vt:lpstr>
      <vt:lpstr>tue_mins</vt:lpstr>
      <vt:lpstr>tue_mins2</vt:lpstr>
      <vt:lpstr>wed_hrs</vt:lpstr>
      <vt:lpstr>wed_hrs2</vt:lpstr>
      <vt:lpstr>wed_mins</vt:lpstr>
      <vt:lpstr>wed_mins2</vt:lpstr>
      <vt:lpstr>your_department</vt:lpstr>
      <vt:lpstr>your_name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Goddard</dc:creator>
  <cp:lastModifiedBy>Nora Rochow</cp:lastModifiedBy>
  <cp:lastPrinted>2024-11-05T02:26:18Z</cp:lastPrinted>
  <dcterms:created xsi:type="dcterms:W3CDTF">1999-04-08T04:15:35Z</dcterms:created>
  <dcterms:modified xsi:type="dcterms:W3CDTF">2025-11-19T22:42:54Z</dcterms:modified>
</cp:coreProperties>
</file>